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DieseArbeitsmappe"/>
  <mc:AlternateContent xmlns:mc="http://schemas.openxmlformats.org/markup-compatibility/2006">
    <mc:Choice Requires="x15">
      <x15ac:absPath xmlns:x15ac="http://schemas.microsoft.com/office/spreadsheetml/2010/11/ac" url="N:\G\GR\GRU\@Public\Public\Luft\2_Emissionen\20_Emissionsmodell ALECA\Aleca Final Products\"/>
    </mc:Choice>
  </mc:AlternateContent>
  <xr:revisionPtr revIDLastSave="0" documentId="13_ncr:1_{9FCEA042-FF7D-484C-85E4-3D8148F4297E}" xr6:coauthVersionLast="45" xr6:coauthVersionMax="45" xr10:uidLastSave="{00000000-0000-0000-0000-000000000000}"/>
  <workbookProtection workbookAlgorithmName="SHA-512" workbookHashValue="cvhwtQv7y8c4HYlkILvCuQeTqALX0f+9nlV7lbDiwpzdX9aBAfd/WJvu71aLu1uiMFmEhRF9tyPwGZ2BFttAQg==" workbookSaltValue="mjDXk4O8wPE4pMv1daidDg==" workbookSpinCount="100000" lockStructure="1"/>
  <bookViews>
    <workbookView xWindow="1605" yWindow="1275" windowWidth="26865" windowHeight="15165" tabRatio="661" activeTab="7" xr2:uid="{00000000-000D-0000-FFFF-FFFF00000000}"/>
  </bookViews>
  <sheets>
    <sheet name="About" sheetId="7" r:id="rId1"/>
    <sheet name="ALECA_Input" sheetId="1" r:id="rId2"/>
    <sheet name="Aircraft Calc" sheetId="5" state="hidden" r:id="rId3"/>
    <sheet name="Engines_all" sheetId="9" state="hidden" r:id="rId4"/>
    <sheet name="Rest Calc" sheetId="4" state="hidden" r:id="rId5"/>
    <sheet name="Countries" sheetId="2" state="hidden" r:id="rId6"/>
    <sheet name="ALECA_Results" sheetId="6" r:id="rId7"/>
    <sheet name="Software License Agreement" sheetId="10" r:id="rId8"/>
  </sheets>
  <definedNames>
    <definedName name="Calculation">'Rest Calc'!$H$13:$H$14</definedName>
    <definedName name="CNG">'Rest Calc'!$I$5:$I$7</definedName>
    <definedName name="CountryList">Countries!$A$12:$A$155</definedName>
    <definedName name="Deicing">'Rest Calc'!$I$15:$I$16</definedName>
    <definedName name="_xlnm.Print_Area" localSheetId="0">About!$A$1:$B$61</definedName>
    <definedName name="_xlnm.Print_Area" localSheetId="1">ALECA_Input!$A$1:$N$225</definedName>
    <definedName name="_xlnm.Print_Area" localSheetId="6">ALECA_Results!$A$1:$D$133</definedName>
    <definedName name="_xlnm.Print_Area" localSheetId="4">'Rest Calc'!$A$1:$L$163</definedName>
    <definedName name="Fuel">'Rest Calc'!$I$5:$I$7</definedName>
    <definedName name="GPU">'Rest Calc'!$G$5:$G$8</definedName>
    <definedName name="GSE">'Rest Calc'!$G$13:$G$15</definedName>
    <definedName name="GSEFuel">'Rest Calc'!$H$5:$H$7</definedName>
    <definedName name="LTO">'Rest Calc'!$I$13:$I$14</definedName>
    <definedName name="Options">'Rest Calc'!$G$13:$G$14</definedName>
    <definedName name="Scenario">#REF!</definedName>
    <definedName name="Taxi">'Rest Calc'!$J$13:$J$14</definedName>
    <definedName name="YESNO">'Rest Calc'!$K$13:$K$14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3" i="6" l="1"/>
  <c r="V675" i="9" l="1"/>
  <c r="U675" i="9"/>
  <c r="T675" i="9"/>
  <c r="S675" i="9"/>
  <c r="R675" i="9"/>
  <c r="Q675" i="9"/>
  <c r="V690" i="9"/>
  <c r="U690" i="9"/>
  <c r="T690" i="9"/>
  <c r="S690" i="9"/>
  <c r="R690" i="9"/>
  <c r="Q690" i="9"/>
  <c r="I690" i="9"/>
  <c r="H690" i="9"/>
  <c r="G690" i="9"/>
  <c r="K690" i="9" s="1"/>
  <c r="V689" i="9"/>
  <c r="U689" i="9"/>
  <c r="T689" i="9"/>
  <c r="S689" i="9"/>
  <c r="R689" i="9"/>
  <c r="Q689" i="9"/>
  <c r="I689" i="9"/>
  <c r="H689" i="9"/>
  <c r="G689" i="9"/>
  <c r="V688" i="9"/>
  <c r="U688" i="9"/>
  <c r="T688" i="9"/>
  <c r="S688" i="9"/>
  <c r="R688" i="9"/>
  <c r="Q688" i="9"/>
  <c r="I688" i="9"/>
  <c r="H688" i="9"/>
  <c r="G688" i="9"/>
  <c r="V687" i="9"/>
  <c r="U687" i="9"/>
  <c r="T687" i="9"/>
  <c r="S687" i="9"/>
  <c r="R687" i="9"/>
  <c r="Q687" i="9"/>
  <c r="I687" i="9"/>
  <c r="H687" i="9"/>
  <c r="G687" i="9"/>
  <c r="V686" i="9"/>
  <c r="U686" i="9"/>
  <c r="T686" i="9"/>
  <c r="S686" i="9"/>
  <c r="R686" i="9"/>
  <c r="Q686" i="9"/>
  <c r="I686" i="9"/>
  <c r="H686" i="9"/>
  <c r="G686" i="9"/>
  <c r="K686" i="9" s="1"/>
  <c r="I675" i="9"/>
  <c r="H675" i="9"/>
  <c r="G675" i="9"/>
  <c r="N675" i="9" s="1"/>
  <c r="V513" i="9"/>
  <c r="U513" i="9"/>
  <c r="T513" i="9"/>
  <c r="S513" i="9"/>
  <c r="R513" i="9"/>
  <c r="Q513" i="9"/>
  <c r="I513" i="9"/>
  <c r="H513" i="9"/>
  <c r="G513" i="9"/>
  <c r="V512" i="9"/>
  <c r="U512" i="9"/>
  <c r="T512" i="9"/>
  <c r="S512" i="9"/>
  <c r="R512" i="9"/>
  <c r="Q512" i="9"/>
  <c r="I512" i="9"/>
  <c r="H512" i="9"/>
  <c r="G512" i="9"/>
  <c r="V511" i="9"/>
  <c r="U511" i="9"/>
  <c r="T511" i="9"/>
  <c r="S511" i="9"/>
  <c r="R511" i="9"/>
  <c r="Q511" i="9"/>
  <c r="I511" i="9"/>
  <c r="H511" i="9"/>
  <c r="G511" i="9"/>
  <c r="V510" i="9"/>
  <c r="U510" i="9"/>
  <c r="T510" i="9"/>
  <c r="S510" i="9"/>
  <c r="R510" i="9"/>
  <c r="Q510" i="9"/>
  <c r="I510" i="9"/>
  <c r="H510" i="9"/>
  <c r="G510" i="9"/>
  <c r="V133" i="9"/>
  <c r="U133" i="9"/>
  <c r="T133" i="9"/>
  <c r="S133" i="9"/>
  <c r="R133" i="9"/>
  <c r="Q133" i="9"/>
  <c r="I133" i="9"/>
  <c r="H133" i="9"/>
  <c r="G133" i="9"/>
  <c r="M675" i="9" l="1"/>
  <c r="O687" i="9"/>
  <c r="N689" i="9"/>
  <c r="M688" i="9"/>
  <c r="M689" i="9"/>
  <c r="K675" i="9"/>
  <c r="O675" i="9"/>
  <c r="N690" i="9"/>
  <c r="O690" i="9"/>
  <c r="L675" i="9"/>
  <c r="P675" i="9"/>
  <c r="N686" i="9"/>
  <c r="O686" i="9"/>
  <c r="P688" i="9"/>
  <c r="P687" i="9"/>
  <c r="L686" i="9"/>
  <c r="P686" i="9"/>
  <c r="M687" i="9"/>
  <c r="N688" i="9"/>
  <c r="K689" i="9"/>
  <c r="O689" i="9"/>
  <c r="L690" i="9"/>
  <c r="P690" i="9"/>
  <c r="L687" i="9"/>
  <c r="M686" i="9"/>
  <c r="N687" i="9"/>
  <c r="K688" i="9"/>
  <c r="O688" i="9"/>
  <c r="L689" i="9"/>
  <c r="P689" i="9"/>
  <c r="M690" i="9"/>
  <c r="K687" i="9"/>
  <c r="L688" i="9"/>
  <c r="K513" i="9"/>
  <c r="M511" i="9"/>
  <c r="M512" i="9"/>
  <c r="N513" i="9"/>
  <c r="O513" i="9"/>
  <c r="O510" i="9"/>
  <c r="N512" i="9"/>
  <c r="P511" i="9"/>
  <c r="M510" i="9"/>
  <c r="N511" i="9"/>
  <c r="K512" i="9"/>
  <c r="O512" i="9"/>
  <c r="L513" i="9"/>
  <c r="P513" i="9"/>
  <c r="L510" i="9"/>
  <c r="P510" i="9"/>
  <c r="N510" i="9"/>
  <c r="K511" i="9"/>
  <c r="O511" i="9"/>
  <c r="L512" i="9"/>
  <c r="P512" i="9"/>
  <c r="M513" i="9"/>
  <c r="K510" i="9"/>
  <c r="L511" i="9"/>
  <c r="K133" i="9"/>
  <c r="N133" i="9"/>
  <c r="O133" i="9"/>
  <c r="L133" i="9"/>
  <c r="P133" i="9"/>
  <c r="M133" i="9"/>
  <c r="H32" i="5" l="1"/>
  <c r="G35" i="1"/>
  <c r="G34" i="1"/>
  <c r="D35" i="1"/>
  <c r="D34" i="1"/>
  <c r="AG32" i="5"/>
  <c r="G32" i="5"/>
  <c r="AH32" i="5" s="1"/>
  <c r="P32" i="5" l="1"/>
  <c r="I843" i="9"/>
  <c r="H843" i="9"/>
  <c r="G843" i="9"/>
  <c r="I842" i="9"/>
  <c r="H842" i="9"/>
  <c r="G842" i="9"/>
  <c r="I841" i="9"/>
  <c r="H841" i="9"/>
  <c r="G841" i="9"/>
  <c r="I840" i="9"/>
  <c r="H840" i="9"/>
  <c r="G840" i="9"/>
  <c r="I839" i="9"/>
  <c r="H839" i="9"/>
  <c r="G839" i="9"/>
  <c r="I838" i="9"/>
  <c r="H838" i="9"/>
  <c r="G838" i="9"/>
  <c r="I837" i="9"/>
  <c r="H837" i="9"/>
  <c r="G837" i="9"/>
  <c r="I836" i="9"/>
  <c r="H836" i="9"/>
  <c r="G836" i="9"/>
  <c r="I835" i="9"/>
  <c r="H835" i="9"/>
  <c r="G835" i="9"/>
  <c r="I834" i="9"/>
  <c r="H834" i="9"/>
  <c r="G834" i="9"/>
  <c r="I833" i="9"/>
  <c r="H833" i="9"/>
  <c r="G833" i="9"/>
  <c r="I832" i="9"/>
  <c r="H832" i="9"/>
  <c r="G832" i="9"/>
  <c r="I831" i="9"/>
  <c r="H831" i="9"/>
  <c r="G831" i="9"/>
  <c r="I830" i="9"/>
  <c r="H830" i="9"/>
  <c r="G830" i="9"/>
  <c r="I829" i="9"/>
  <c r="H829" i="9"/>
  <c r="G829" i="9"/>
  <c r="I828" i="9"/>
  <c r="H828" i="9"/>
  <c r="G828" i="9"/>
  <c r="I827" i="9"/>
  <c r="H827" i="9"/>
  <c r="G827" i="9"/>
  <c r="I826" i="9"/>
  <c r="H826" i="9"/>
  <c r="G826" i="9"/>
  <c r="I825" i="9"/>
  <c r="H825" i="9"/>
  <c r="G825" i="9"/>
  <c r="I824" i="9"/>
  <c r="H824" i="9"/>
  <c r="G824" i="9"/>
  <c r="I823" i="9"/>
  <c r="H823" i="9"/>
  <c r="G823" i="9"/>
  <c r="I822" i="9"/>
  <c r="H822" i="9"/>
  <c r="G822" i="9"/>
  <c r="I821" i="9"/>
  <c r="H821" i="9"/>
  <c r="G821" i="9"/>
  <c r="I820" i="9"/>
  <c r="H820" i="9"/>
  <c r="G820" i="9"/>
  <c r="I819" i="9"/>
  <c r="H819" i="9"/>
  <c r="G819" i="9"/>
  <c r="I818" i="9"/>
  <c r="H818" i="9"/>
  <c r="G818" i="9"/>
  <c r="I817" i="9"/>
  <c r="H817" i="9"/>
  <c r="G817" i="9"/>
  <c r="I816" i="9"/>
  <c r="H816" i="9"/>
  <c r="G816" i="9"/>
  <c r="I815" i="9"/>
  <c r="H815" i="9"/>
  <c r="G815" i="9"/>
  <c r="I814" i="9"/>
  <c r="H814" i="9"/>
  <c r="G814" i="9"/>
  <c r="I813" i="9"/>
  <c r="H813" i="9"/>
  <c r="G813" i="9"/>
  <c r="I812" i="9"/>
  <c r="H812" i="9"/>
  <c r="G812" i="9"/>
  <c r="I811" i="9"/>
  <c r="H811" i="9"/>
  <c r="G811" i="9"/>
  <c r="I810" i="9"/>
  <c r="H810" i="9"/>
  <c r="G810" i="9"/>
  <c r="I809" i="9"/>
  <c r="H809" i="9"/>
  <c r="G809" i="9"/>
  <c r="I808" i="9"/>
  <c r="H808" i="9"/>
  <c r="G808" i="9"/>
  <c r="I807" i="9"/>
  <c r="H807" i="9"/>
  <c r="G807" i="9"/>
  <c r="I806" i="9"/>
  <c r="H806" i="9"/>
  <c r="G806" i="9"/>
  <c r="I805" i="9"/>
  <c r="H805" i="9"/>
  <c r="G805" i="9"/>
  <c r="I804" i="9"/>
  <c r="H804" i="9"/>
  <c r="G804" i="9"/>
  <c r="I803" i="9"/>
  <c r="H803" i="9"/>
  <c r="G803" i="9"/>
  <c r="I802" i="9"/>
  <c r="H802" i="9"/>
  <c r="G802" i="9"/>
  <c r="I801" i="9"/>
  <c r="H801" i="9"/>
  <c r="G801" i="9"/>
  <c r="I800" i="9"/>
  <c r="H800" i="9"/>
  <c r="G800" i="9"/>
  <c r="I799" i="9"/>
  <c r="H799" i="9"/>
  <c r="G799" i="9"/>
  <c r="I798" i="9"/>
  <c r="H798" i="9"/>
  <c r="G798" i="9"/>
  <c r="I797" i="9"/>
  <c r="H797" i="9"/>
  <c r="G797" i="9"/>
  <c r="I796" i="9"/>
  <c r="H796" i="9"/>
  <c r="G796" i="9"/>
  <c r="I795" i="9"/>
  <c r="H795" i="9"/>
  <c r="G795" i="9"/>
  <c r="I794" i="9"/>
  <c r="H794" i="9"/>
  <c r="G794" i="9"/>
  <c r="I793" i="9"/>
  <c r="H793" i="9"/>
  <c r="G793" i="9"/>
  <c r="I792" i="9"/>
  <c r="H792" i="9"/>
  <c r="G792" i="9"/>
  <c r="I791" i="9"/>
  <c r="H791" i="9"/>
  <c r="G791" i="9"/>
  <c r="I790" i="9"/>
  <c r="H790" i="9"/>
  <c r="G790" i="9"/>
  <c r="I789" i="9"/>
  <c r="H789" i="9"/>
  <c r="G789" i="9"/>
  <c r="I788" i="9"/>
  <c r="H788" i="9"/>
  <c r="G788" i="9"/>
  <c r="I787" i="9"/>
  <c r="H787" i="9"/>
  <c r="G787" i="9"/>
  <c r="I786" i="9"/>
  <c r="H786" i="9"/>
  <c r="G786" i="9"/>
  <c r="I785" i="9"/>
  <c r="H785" i="9"/>
  <c r="G785" i="9"/>
  <c r="I784" i="9"/>
  <c r="H784" i="9"/>
  <c r="G784" i="9"/>
  <c r="I783" i="9"/>
  <c r="H783" i="9"/>
  <c r="G783" i="9"/>
  <c r="I782" i="9"/>
  <c r="H782" i="9"/>
  <c r="G782" i="9"/>
  <c r="I781" i="9"/>
  <c r="H781" i="9"/>
  <c r="G781" i="9"/>
  <c r="I780" i="9"/>
  <c r="H780" i="9"/>
  <c r="G780" i="9"/>
  <c r="I779" i="9"/>
  <c r="H779" i="9"/>
  <c r="G779" i="9"/>
  <c r="I778" i="9"/>
  <c r="H778" i="9"/>
  <c r="G778" i="9"/>
  <c r="I777" i="9"/>
  <c r="H777" i="9"/>
  <c r="G777" i="9"/>
  <c r="I776" i="9"/>
  <c r="H776" i="9"/>
  <c r="G776" i="9"/>
  <c r="I775" i="9"/>
  <c r="H775" i="9"/>
  <c r="G775" i="9"/>
  <c r="I774" i="9"/>
  <c r="H774" i="9"/>
  <c r="G774" i="9"/>
  <c r="I773" i="9"/>
  <c r="H773" i="9"/>
  <c r="G773" i="9"/>
  <c r="I772" i="9"/>
  <c r="H772" i="9"/>
  <c r="G772" i="9"/>
  <c r="I771" i="9"/>
  <c r="H771" i="9"/>
  <c r="G771" i="9"/>
  <c r="I770" i="9"/>
  <c r="H770" i="9"/>
  <c r="G770" i="9"/>
  <c r="I769" i="9"/>
  <c r="H769" i="9"/>
  <c r="G769" i="9"/>
  <c r="I768" i="9"/>
  <c r="H768" i="9"/>
  <c r="G768" i="9"/>
  <c r="I767" i="9"/>
  <c r="H767" i="9"/>
  <c r="G767" i="9"/>
  <c r="I766" i="9"/>
  <c r="H766" i="9"/>
  <c r="G766" i="9"/>
  <c r="I765" i="9"/>
  <c r="H765" i="9"/>
  <c r="G765" i="9"/>
  <c r="I764" i="9"/>
  <c r="H764" i="9"/>
  <c r="G764" i="9"/>
  <c r="I763" i="9"/>
  <c r="H763" i="9"/>
  <c r="G763" i="9"/>
  <c r="I762" i="9"/>
  <c r="H762" i="9"/>
  <c r="G762" i="9"/>
  <c r="I761" i="9"/>
  <c r="H761" i="9"/>
  <c r="G761" i="9"/>
  <c r="I760" i="9"/>
  <c r="H760" i="9"/>
  <c r="G760" i="9"/>
  <c r="I759" i="9"/>
  <c r="H759" i="9"/>
  <c r="G759" i="9"/>
  <c r="I758" i="9"/>
  <c r="H758" i="9"/>
  <c r="G758" i="9"/>
  <c r="I757" i="9"/>
  <c r="H757" i="9"/>
  <c r="G757" i="9"/>
  <c r="I756" i="9"/>
  <c r="H756" i="9"/>
  <c r="G756" i="9"/>
  <c r="I755" i="9"/>
  <c r="H755" i="9"/>
  <c r="G755" i="9"/>
  <c r="I754" i="9"/>
  <c r="H754" i="9"/>
  <c r="G754" i="9"/>
  <c r="I753" i="9"/>
  <c r="H753" i="9"/>
  <c r="G753" i="9"/>
  <c r="I752" i="9"/>
  <c r="H752" i="9"/>
  <c r="G752" i="9"/>
  <c r="I751" i="9"/>
  <c r="H751" i="9"/>
  <c r="G751" i="9"/>
  <c r="I750" i="9"/>
  <c r="H750" i="9"/>
  <c r="G750" i="9"/>
  <c r="I749" i="9"/>
  <c r="H749" i="9"/>
  <c r="G749" i="9"/>
  <c r="I748" i="9"/>
  <c r="H748" i="9"/>
  <c r="G748" i="9"/>
  <c r="I747" i="9"/>
  <c r="H747" i="9"/>
  <c r="G747" i="9"/>
  <c r="I746" i="9"/>
  <c r="H746" i="9"/>
  <c r="G746" i="9"/>
  <c r="I745" i="9"/>
  <c r="H745" i="9"/>
  <c r="G745" i="9"/>
  <c r="I744" i="9"/>
  <c r="H744" i="9"/>
  <c r="G744" i="9"/>
  <c r="I743" i="9"/>
  <c r="H743" i="9"/>
  <c r="G743" i="9"/>
  <c r="I742" i="9"/>
  <c r="H742" i="9"/>
  <c r="G742" i="9"/>
  <c r="I741" i="9"/>
  <c r="H741" i="9"/>
  <c r="G741" i="9"/>
  <c r="I740" i="9"/>
  <c r="H740" i="9"/>
  <c r="G740" i="9"/>
  <c r="I739" i="9"/>
  <c r="H739" i="9"/>
  <c r="G739" i="9"/>
  <c r="I738" i="9"/>
  <c r="H738" i="9"/>
  <c r="G738" i="9"/>
  <c r="I737" i="9"/>
  <c r="H737" i="9"/>
  <c r="G737" i="9"/>
  <c r="I736" i="9"/>
  <c r="H736" i="9"/>
  <c r="G736" i="9"/>
  <c r="I735" i="9"/>
  <c r="H735" i="9"/>
  <c r="G735" i="9"/>
  <c r="I734" i="9"/>
  <c r="H734" i="9"/>
  <c r="G734" i="9"/>
  <c r="I733" i="9"/>
  <c r="H733" i="9"/>
  <c r="G733" i="9"/>
  <c r="I732" i="9"/>
  <c r="H732" i="9"/>
  <c r="G732" i="9"/>
  <c r="I731" i="9"/>
  <c r="H731" i="9"/>
  <c r="G731" i="9"/>
  <c r="I730" i="9"/>
  <c r="H730" i="9"/>
  <c r="G730" i="9"/>
  <c r="I729" i="9"/>
  <c r="H729" i="9"/>
  <c r="G729" i="9"/>
  <c r="I728" i="9"/>
  <c r="H728" i="9"/>
  <c r="G728" i="9"/>
  <c r="I727" i="9"/>
  <c r="H727" i="9"/>
  <c r="G727" i="9"/>
  <c r="I726" i="9"/>
  <c r="H726" i="9"/>
  <c r="G726" i="9"/>
  <c r="I725" i="9"/>
  <c r="H725" i="9"/>
  <c r="G725" i="9"/>
  <c r="I724" i="9"/>
  <c r="H724" i="9"/>
  <c r="G724" i="9"/>
  <c r="I723" i="9"/>
  <c r="H723" i="9"/>
  <c r="G723" i="9"/>
  <c r="I722" i="9"/>
  <c r="H722" i="9"/>
  <c r="G722" i="9"/>
  <c r="I721" i="9"/>
  <c r="H721" i="9"/>
  <c r="G721" i="9"/>
  <c r="I720" i="9"/>
  <c r="H720" i="9"/>
  <c r="G720" i="9"/>
  <c r="I719" i="9"/>
  <c r="H719" i="9"/>
  <c r="G719" i="9"/>
  <c r="I718" i="9"/>
  <c r="H718" i="9"/>
  <c r="G718" i="9"/>
  <c r="I717" i="9"/>
  <c r="H717" i="9"/>
  <c r="G717" i="9"/>
  <c r="I716" i="9"/>
  <c r="H716" i="9"/>
  <c r="G716" i="9"/>
  <c r="I715" i="9"/>
  <c r="H715" i="9"/>
  <c r="G715" i="9"/>
  <c r="I714" i="9"/>
  <c r="H714" i="9"/>
  <c r="G714" i="9"/>
  <c r="I713" i="9"/>
  <c r="H713" i="9"/>
  <c r="G713" i="9"/>
  <c r="I712" i="9"/>
  <c r="H712" i="9"/>
  <c r="G712" i="9"/>
  <c r="I711" i="9"/>
  <c r="H711" i="9"/>
  <c r="G711" i="9"/>
  <c r="I710" i="9"/>
  <c r="H710" i="9"/>
  <c r="G710" i="9"/>
  <c r="I709" i="9"/>
  <c r="H709" i="9"/>
  <c r="G709" i="9"/>
  <c r="I708" i="9"/>
  <c r="H708" i="9"/>
  <c r="G708" i="9"/>
  <c r="I707" i="9"/>
  <c r="H707" i="9"/>
  <c r="G707" i="9"/>
  <c r="I706" i="9"/>
  <c r="H706" i="9"/>
  <c r="G706" i="9"/>
  <c r="I705" i="9"/>
  <c r="H705" i="9"/>
  <c r="G705" i="9"/>
  <c r="I704" i="9"/>
  <c r="H704" i="9"/>
  <c r="G704" i="9"/>
  <c r="I703" i="9"/>
  <c r="H703" i="9"/>
  <c r="G703" i="9"/>
  <c r="I702" i="9"/>
  <c r="H702" i="9"/>
  <c r="G702" i="9"/>
  <c r="I701" i="9"/>
  <c r="H701" i="9"/>
  <c r="G701" i="9"/>
  <c r="I700" i="9"/>
  <c r="H700" i="9"/>
  <c r="G700" i="9"/>
  <c r="I699" i="9"/>
  <c r="H699" i="9"/>
  <c r="G699" i="9"/>
  <c r="I698" i="9"/>
  <c r="H698" i="9"/>
  <c r="G698" i="9"/>
  <c r="I697" i="9"/>
  <c r="H697" i="9"/>
  <c r="G697" i="9"/>
  <c r="I696" i="9"/>
  <c r="H696" i="9"/>
  <c r="G696" i="9"/>
  <c r="I695" i="9"/>
  <c r="H695" i="9"/>
  <c r="G695" i="9"/>
  <c r="I694" i="9"/>
  <c r="H694" i="9"/>
  <c r="G694" i="9"/>
  <c r="I693" i="9"/>
  <c r="H693" i="9"/>
  <c r="G693" i="9"/>
  <c r="I692" i="9"/>
  <c r="H692" i="9"/>
  <c r="G692" i="9"/>
  <c r="I691" i="9"/>
  <c r="H691" i="9"/>
  <c r="G691" i="9"/>
  <c r="I685" i="9"/>
  <c r="H685" i="9"/>
  <c r="G685" i="9"/>
  <c r="I684" i="9"/>
  <c r="H684" i="9"/>
  <c r="G684" i="9"/>
  <c r="I683" i="9"/>
  <c r="H683" i="9"/>
  <c r="G683" i="9"/>
  <c r="I682" i="9"/>
  <c r="H682" i="9"/>
  <c r="G682" i="9"/>
  <c r="I681" i="9"/>
  <c r="H681" i="9"/>
  <c r="G681" i="9"/>
  <c r="I680" i="9"/>
  <c r="H680" i="9"/>
  <c r="G680" i="9"/>
  <c r="I679" i="9"/>
  <c r="H679" i="9"/>
  <c r="G679" i="9"/>
  <c r="I678" i="9"/>
  <c r="H678" i="9"/>
  <c r="G678" i="9"/>
  <c r="I677" i="9"/>
  <c r="H677" i="9"/>
  <c r="G677" i="9"/>
  <c r="I676" i="9"/>
  <c r="H676" i="9"/>
  <c r="G676" i="9"/>
  <c r="I674" i="9"/>
  <c r="H674" i="9"/>
  <c r="G674" i="9"/>
  <c r="I673" i="9"/>
  <c r="H673" i="9"/>
  <c r="G673" i="9"/>
  <c r="I672" i="9"/>
  <c r="H672" i="9"/>
  <c r="G672" i="9"/>
  <c r="I671" i="9"/>
  <c r="H671" i="9"/>
  <c r="G671" i="9"/>
  <c r="I670" i="9"/>
  <c r="H670" i="9"/>
  <c r="G670" i="9"/>
  <c r="I669" i="9"/>
  <c r="H669" i="9"/>
  <c r="G669" i="9"/>
  <c r="I668" i="9"/>
  <c r="H668" i="9"/>
  <c r="G668" i="9"/>
  <c r="I667" i="9"/>
  <c r="H667" i="9"/>
  <c r="G667" i="9"/>
  <c r="I666" i="9"/>
  <c r="H666" i="9"/>
  <c r="G666" i="9"/>
  <c r="I665" i="9"/>
  <c r="H665" i="9"/>
  <c r="G665" i="9"/>
  <c r="I664" i="9"/>
  <c r="H664" i="9"/>
  <c r="G664" i="9"/>
  <c r="I663" i="9"/>
  <c r="H663" i="9"/>
  <c r="G663" i="9"/>
  <c r="I662" i="9"/>
  <c r="H662" i="9"/>
  <c r="G662" i="9"/>
  <c r="I661" i="9"/>
  <c r="H661" i="9"/>
  <c r="G661" i="9"/>
  <c r="I660" i="9"/>
  <c r="H660" i="9"/>
  <c r="G660" i="9"/>
  <c r="I659" i="9"/>
  <c r="H659" i="9"/>
  <c r="G659" i="9"/>
  <c r="I658" i="9"/>
  <c r="H658" i="9"/>
  <c r="G658" i="9"/>
  <c r="I657" i="9"/>
  <c r="H657" i="9"/>
  <c r="G657" i="9"/>
  <c r="I656" i="9"/>
  <c r="H656" i="9"/>
  <c r="G656" i="9"/>
  <c r="I655" i="9"/>
  <c r="H655" i="9"/>
  <c r="G655" i="9"/>
  <c r="I654" i="9"/>
  <c r="H654" i="9"/>
  <c r="G654" i="9"/>
  <c r="I653" i="9"/>
  <c r="H653" i="9"/>
  <c r="G653" i="9"/>
  <c r="I652" i="9"/>
  <c r="H652" i="9"/>
  <c r="G652" i="9"/>
  <c r="I651" i="9"/>
  <c r="H651" i="9"/>
  <c r="G651" i="9"/>
  <c r="I650" i="9"/>
  <c r="H650" i="9"/>
  <c r="G650" i="9"/>
  <c r="I649" i="9"/>
  <c r="H649" i="9"/>
  <c r="G649" i="9"/>
  <c r="I648" i="9"/>
  <c r="H648" i="9"/>
  <c r="G648" i="9"/>
  <c r="I647" i="9"/>
  <c r="H647" i="9"/>
  <c r="G647" i="9"/>
  <c r="I646" i="9"/>
  <c r="H646" i="9"/>
  <c r="G646" i="9"/>
  <c r="I645" i="9"/>
  <c r="H645" i="9"/>
  <c r="G645" i="9"/>
  <c r="I644" i="9"/>
  <c r="H644" i="9"/>
  <c r="G644" i="9"/>
  <c r="I643" i="9"/>
  <c r="H643" i="9"/>
  <c r="G643" i="9"/>
  <c r="I642" i="9"/>
  <c r="H642" i="9"/>
  <c r="G642" i="9"/>
  <c r="I641" i="9"/>
  <c r="H641" i="9"/>
  <c r="G641" i="9"/>
  <c r="I640" i="9"/>
  <c r="H640" i="9"/>
  <c r="G640" i="9"/>
  <c r="I639" i="9"/>
  <c r="H639" i="9"/>
  <c r="G639" i="9"/>
  <c r="I638" i="9"/>
  <c r="H638" i="9"/>
  <c r="G638" i="9"/>
  <c r="I637" i="9"/>
  <c r="H637" i="9"/>
  <c r="G637" i="9"/>
  <c r="I636" i="9"/>
  <c r="H636" i="9"/>
  <c r="G636" i="9"/>
  <c r="I635" i="9"/>
  <c r="H635" i="9"/>
  <c r="G635" i="9"/>
  <c r="I634" i="9"/>
  <c r="H634" i="9"/>
  <c r="G634" i="9"/>
  <c r="I633" i="9"/>
  <c r="H633" i="9"/>
  <c r="G633" i="9"/>
  <c r="I632" i="9"/>
  <c r="H632" i="9"/>
  <c r="G632" i="9"/>
  <c r="I631" i="9"/>
  <c r="H631" i="9"/>
  <c r="G631" i="9"/>
  <c r="I630" i="9"/>
  <c r="H630" i="9"/>
  <c r="G630" i="9"/>
  <c r="I629" i="9"/>
  <c r="H629" i="9"/>
  <c r="G629" i="9"/>
  <c r="I628" i="9"/>
  <c r="H628" i="9"/>
  <c r="G628" i="9"/>
  <c r="I627" i="9"/>
  <c r="H627" i="9"/>
  <c r="G627" i="9"/>
  <c r="I626" i="9"/>
  <c r="H626" i="9"/>
  <c r="G626" i="9"/>
  <c r="I625" i="9"/>
  <c r="H625" i="9"/>
  <c r="G625" i="9"/>
  <c r="I624" i="9"/>
  <c r="H624" i="9"/>
  <c r="G624" i="9"/>
  <c r="I623" i="9"/>
  <c r="H623" i="9"/>
  <c r="G623" i="9"/>
  <c r="I622" i="9"/>
  <c r="H622" i="9"/>
  <c r="G622" i="9"/>
  <c r="I621" i="9"/>
  <c r="H621" i="9"/>
  <c r="G621" i="9"/>
  <c r="I620" i="9"/>
  <c r="H620" i="9"/>
  <c r="G620" i="9"/>
  <c r="I619" i="9"/>
  <c r="H619" i="9"/>
  <c r="G619" i="9"/>
  <c r="I618" i="9"/>
  <c r="H618" i="9"/>
  <c r="G618" i="9"/>
  <c r="I617" i="9"/>
  <c r="H617" i="9"/>
  <c r="G617" i="9"/>
  <c r="I616" i="9"/>
  <c r="H616" i="9"/>
  <c r="G616" i="9"/>
  <c r="I615" i="9"/>
  <c r="H615" i="9"/>
  <c r="G615" i="9"/>
  <c r="I614" i="9"/>
  <c r="H614" i="9"/>
  <c r="G614" i="9"/>
  <c r="I613" i="9"/>
  <c r="H613" i="9"/>
  <c r="G613" i="9"/>
  <c r="I612" i="9"/>
  <c r="H612" i="9"/>
  <c r="G612" i="9"/>
  <c r="I611" i="9"/>
  <c r="H611" i="9"/>
  <c r="G611" i="9"/>
  <c r="I610" i="9"/>
  <c r="H610" i="9"/>
  <c r="G610" i="9"/>
  <c r="I609" i="9"/>
  <c r="H609" i="9"/>
  <c r="G609" i="9"/>
  <c r="I608" i="9"/>
  <c r="H608" i="9"/>
  <c r="G608" i="9"/>
  <c r="I607" i="9"/>
  <c r="H607" i="9"/>
  <c r="G607" i="9"/>
  <c r="I606" i="9"/>
  <c r="H606" i="9"/>
  <c r="G606" i="9"/>
  <c r="I605" i="9"/>
  <c r="H605" i="9"/>
  <c r="G605" i="9"/>
  <c r="I604" i="9"/>
  <c r="H604" i="9"/>
  <c r="G604" i="9"/>
  <c r="I603" i="9"/>
  <c r="H603" i="9"/>
  <c r="G603" i="9"/>
  <c r="I602" i="9"/>
  <c r="H602" i="9"/>
  <c r="G602" i="9"/>
  <c r="I601" i="9"/>
  <c r="H601" i="9"/>
  <c r="G601" i="9"/>
  <c r="I600" i="9"/>
  <c r="H600" i="9"/>
  <c r="G600" i="9"/>
  <c r="I599" i="9"/>
  <c r="H599" i="9"/>
  <c r="G599" i="9"/>
  <c r="I598" i="9"/>
  <c r="H598" i="9"/>
  <c r="G598" i="9"/>
  <c r="I597" i="9"/>
  <c r="H597" i="9"/>
  <c r="G597" i="9"/>
  <c r="I596" i="9"/>
  <c r="H596" i="9"/>
  <c r="G596" i="9"/>
  <c r="I595" i="9"/>
  <c r="H595" i="9"/>
  <c r="G595" i="9"/>
  <c r="I594" i="9"/>
  <c r="H594" i="9"/>
  <c r="G594" i="9"/>
  <c r="I593" i="9"/>
  <c r="H593" i="9"/>
  <c r="G593" i="9"/>
  <c r="I592" i="9"/>
  <c r="H592" i="9"/>
  <c r="G592" i="9"/>
  <c r="I591" i="9"/>
  <c r="H591" i="9"/>
  <c r="G591" i="9"/>
  <c r="I590" i="9"/>
  <c r="H590" i="9"/>
  <c r="G590" i="9"/>
  <c r="I589" i="9"/>
  <c r="H589" i="9"/>
  <c r="G589" i="9"/>
  <c r="I588" i="9"/>
  <c r="H588" i="9"/>
  <c r="G588" i="9"/>
  <c r="I587" i="9"/>
  <c r="H587" i="9"/>
  <c r="G587" i="9"/>
  <c r="I586" i="9"/>
  <c r="H586" i="9"/>
  <c r="G586" i="9"/>
  <c r="I585" i="9"/>
  <c r="H585" i="9"/>
  <c r="G585" i="9"/>
  <c r="I584" i="9"/>
  <c r="H584" i="9"/>
  <c r="G584" i="9"/>
  <c r="I583" i="9"/>
  <c r="H583" i="9"/>
  <c r="G583" i="9"/>
  <c r="I582" i="9"/>
  <c r="H582" i="9"/>
  <c r="G582" i="9"/>
  <c r="I581" i="9"/>
  <c r="H581" i="9"/>
  <c r="G581" i="9"/>
  <c r="I580" i="9"/>
  <c r="H580" i="9"/>
  <c r="G580" i="9"/>
  <c r="I579" i="9"/>
  <c r="H579" i="9"/>
  <c r="G579" i="9"/>
  <c r="I578" i="9"/>
  <c r="H578" i="9"/>
  <c r="G578" i="9"/>
  <c r="I577" i="9"/>
  <c r="H577" i="9"/>
  <c r="G577" i="9"/>
  <c r="I576" i="9"/>
  <c r="H576" i="9"/>
  <c r="G576" i="9"/>
  <c r="I575" i="9"/>
  <c r="H575" i="9"/>
  <c r="G575" i="9"/>
  <c r="I574" i="9"/>
  <c r="H574" i="9"/>
  <c r="G574" i="9"/>
  <c r="I573" i="9"/>
  <c r="H573" i="9"/>
  <c r="G573" i="9"/>
  <c r="I572" i="9"/>
  <c r="H572" i="9"/>
  <c r="G572" i="9"/>
  <c r="I571" i="9"/>
  <c r="H571" i="9"/>
  <c r="G571" i="9"/>
  <c r="I570" i="9"/>
  <c r="H570" i="9"/>
  <c r="G570" i="9"/>
  <c r="I569" i="9"/>
  <c r="H569" i="9"/>
  <c r="G569" i="9"/>
  <c r="I568" i="9"/>
  <c r="H568" i="9"/>
  <c r="G568" i="9"/>
  <c r="I567" i="9"/>
  <c r="H567" i="9"/>
  <c r="G567" i="9"/>
  <c r="I566" i="9"/>
  <c r="H566" i="9"/>
  <c r="G566" i="9"/>
  <c r="I565" i="9"/>
  <c r="H565" i="9"/>
  <c r="G565" i="9"/>
  <c r="I564" i="9"/>
  <c r="H564" i="9"/>
  <c r="G564" i="9"/>
  <c r="I563" i="9"/>
  <c r="H563" i="9"/>
  <c r="G563" i="9"/>
  <c r="I562" i="9"/>
  <c r="H562" i="9"/>
  <c r="G562" i="9"/>
  <c r="I561" i="9"/>
  <c r="H561" i="9"/>
  <c r="G561" i="9"/>
  <c r="I560" i="9"/>
  <c r="H560" i="9"/>
  <c r="G560" i="9"/>
  <c r="I559" i="9"/>
  <c r="H559" i="9"/>
  <c r="G559" i="9"/>
  <c r="I558" i="9"/>
  <c r="H558" i="9"/>
  <c r="G558" i="9"/>
  <c r="I557" i="9"/>
  <c r="H557" i="9"/>
  <c r="G557" i="9"/>
  <c r="I556" i="9"/>
  <c r="H556" i="9"/>
  <c r="G556" i="9"/>
  <c r="I555" i="9"/>
  <c r="H555" i="9"/>
  <c r="G555" i="9"/>
  <c r="I554" i="9"/>
  <c r="H554" i="9"/>
  <c r="G554" i="9"/>
  <c r="I553" i="9"/>
  <c r="H553" i="9"/>
  <c r="G553" i="9"/>
  <c r="I552" i="9"/>
  <c r="H552" i="9"/>
  <c r="G552" i="9"/>
  <c r="I551" i="9"/>
  <c r="H551" i="9"/>
  <c r="G551" i="9"/>
  <c r="I550" i="9"/>
  <c r="H550" i="9"/>
  <c r="G550" i="9"/>
  <c r="I549" i="9"/>
  <c r="H549" i="9"/>
  <c r="G549" i="9"/>
  <c r="I548" i="9"/>
  <c r="H548" i="9"/>
  <c r="G548" i="9"/>
  <c r="I547" i="9"/>
  <c r="H547" i="9"/>
  <c r="G547" i="9"/>
  <c r="I546" i="9"/>
  <c r="H546" i="9"/>
  <c r="G546" i="9"/>
  <c r="I545" i="9"/>
  <c r="H545" i="9"/>
  <c r="G545" i="9"/>
  <c r="I544" i="9"/>
  <c r="H544" i="9"/>
  <c r="G544" i="9"/>
  <c r="I543" i="9"/>
  <c r="H543" i="9"/>
  <c r="G543" i="9"/>
  <c r="I542" i="9"/>
  <c r="H542" i="9"/>
  <c r="G542" i="9"/>
  <c r="I541" i="9"/>
  <c r="H541" i="9"/>
  <c r="G541" i="9"/>
  <c r="I540" i="9"/>
  <c r="H540" i="9"/>
  <c r="G540" i="9"/>
  <c r="I539" i="9"/>
  <c r="H539" i="9"/>
  <c r="G539" i="9"/>
  <c r="I538" i="9"/>
  <c r="H538" i="9"/>
  <c r="G538" i="9"/>
  <c r="I537" i="9"/>
  <c r="H537" i="9"/>
  <c r="G537" i="9"/>
  <c r="I536" i="9"/>
  <c r="H536" i="9"/>
  <c r="G536" i="9"/>
  <c r="I535" i="9"/>
  <c r="H535" i="9"/>
  <c r="G535" i="9"/>
  <c r="I534" i="9"/>
  <c r="H534" i="9"/>
  <c r="G534" i="9"/>
  <c r="I533" i="9"/>
  <c r="H533" i="9"/>
  <c r="G533" i="9"/>
  <c r="I532" i="9"/>
  <c r="H532" i="9"/>
  <c r="G532" i="9"/>
  <c r="I531" i="9"/>
  <c r="H531" i="9"/>
  <c r="G531" i="9"/>
  <c r="I530" i="9"/>
  <c r="H530" i="9"/>
  <c r="G530" i="9"/>
  <c r="I529" i="9"/>
  <c r="H529" i="9"/>
  <c r="G529" i="9"/>
  <c r="I528" i="9"/>
  <c r="H528" i="9"/>
  <c r="G528" i="9"/>
  <c r="I527" i="9"/>
  <c r="H527" i="9"/>
  <c r="G527" i="9"/>
  <c r="I526" i="9"/>
  <c r="H526" i="9"/>
  <c r="G526" i="9"/>
  <c r="I525" i="9"/>
  <c r="H525" i="9"/>
  <c r="G525" i="9"/>
  <c r="I524" i="9"/>
  <c r="H524" i="9"/>
  <c r="G524" i="9"/>
  <c r="I523" i="9"/>
  <c r="H523" i="9"/>
  <c r="G523" i="9"/>
  <c r="I522" i="9"/>
  <c r="H522" i="9"/>
  <c r="G522" i="9"/>
  <c r="I521" i="9"/>
  <c r="H521" i="9"/>
  <c r="G521" i="9"/>
  <c r="I520" i="9"/>
  <c r="H520" i="9"/>
  <c r="G520" i="9"/>
  <c r="I519" i="9"/>
  <c r="H519" i="9"/>
  <c r="G519" i="9"/>
  <c r="I518" i="9"/>
  <c r="H518" i="9"/>
  <c r="G518" i="9"/>
  <c r="I517" i="9"/>
  <c r="H517" i="9"/>
  <c r="G517" i="9"/>
  <c r="I516" i="9"/>
  <c r="H516" i="9"/>
  <c r="G516" i="9"/>
  <c r="I515" i="9"/>
  <c r="H515" i="9"/>
  <c r="G515" i="9"/>
  <c r="I514" i="9"/>
  <c r="H514" i="9"/>
  <c r="G514" i="9"/>
  <c r="I509" i="9"/>
  <c r="H509" i="9"/>
  <c r="G509" i="9"/>
  <c r="I508" i="9"/>
  <c r="H508" i="9"/>
  <c r="G508" i="9"/>
  <c r="I507" i="9"/>
  <c r="H507" i="9"/>
  <c r="G507" i="9"/>
  <c r="I506" i="9"/>
  <c r="H506" i="9"/>
  <c r="G506" i="9"/>
  <c r="I505" i="9"/>
  <c r="H505" i="9"/>
  <c r="G505" i="9"/>
  <c r="I504" i="9"/>
  <c r="H504" i="9"/>
  <c r="G504" i="9"/>
  <c r="I503" i="9"/>
  <c r="H503" i="9"/>
  <c r="G503" i="9"/>
  <c r="I502" i="9"/>
  <c r="H502" i="9"/>
  <c r="G502" i="9"/>
  <c r="I501" i="9"/>
  <c r="H501" i="9"/>
  <c r="G501" i="9"/>
  <c r="I500" i="9"/>
  <c r="H500" i="9"/>
  <c r="G500" i="9"/>
  <c r="I499" i="9"/>
  <c r="H499" i="9"/>
  <c r="G499" i="9"/>
  <c r="I498" i="9"/>
  <c r="H498" i="9"/>
  <c r="G498" i="9"/>
  <c r="I497" i="9"/>
  <c r="H497" i="9"/>
  <c r="G497" i="9"/>
  <c r="I496" i="9"/>
  <c r="H496" i="9"/>
  <c r="G496" i="9"/>
  <c r="I495" i="9"/>
  <c r="H495" i="9"/>
  <c r="G495" i="9"/>
  <c r="I494" i="9"/>
  <c r="H494" i="9"/>
  <c r="G494" i="9"/>
  <c r="I493" i="9"/>
  <c r="H493" i="9"/>
  <c r="G493" i="9"/>
  <c r="I492" i="9"/>
  <c r="H492" i="9"/>
  <c r="G492" i="9"/>
  <c r="I491" i="9"/>
  <c r="H491" i="9"/>
  <c r="G491" i="9"/>
  <c r="I490" i="9"/>
  <c r="H490" i="9"/>
  <c r="G490" i="9"/>
  <c r="I489" i="9"/>
  <c r="H489" i="9"/>
  <c r="G489" i="9"/>
  <c r="I488" i="9"/>
  <c r="H488" i="9"/>
  <c r="G488" i="9"/>
  <c r="I487" i="9"/>
  <c r="H487" i="9"/>
  <c r="G487" i="9"/>
  <c r="I486" i="9"/>
  <c r="H486" i="9"/>
  <c r="G486" i="9"/>
  <c r="I485" i="9"/>
  <c r="H485" i="9"/>
  <c r="G485" i="9"/>
  <c r="I484" i="9"/>
  <c r="H484" i="9"/>
  <c r="G484" i="9"/>
  <c r="I483" i="9"/>
  <c r="H483" i="9"/>
  <c r="G483" i="9"/>
  <c r="I482" i="9"/>
  <c r="H482" i="9"/>
  <c r="G482" i="9"/>
  <c r="I481" i="9"/>
  <c r="H481" i="9"/>
  <c r="G481" i="9"/>
  <c r="I480" i="9"/>
  <c r="H480" i="9"/>
  <c r="G480" i="9"/>
  <c r="I479" i="9"/>
  <c r="H479" i="9"/>
  <c r="G479" i="9"/>
  <c r="I478" i="9"/>
  <c r="H478" i="9"/>
  <c r="G478" i="9"/>
  <c r="I477" i="9"/>
  <c r="H477" i="9"/>
  <c r="G477" i="9"/>
  <c r="I476" i="9"/>
  <c r="H476" i="9"/>
  <c r="G476" i="9"/>
  <c r="I475" i="9"/>
  <c r="H475" i="9"/>
  <c r="G475" i="9"/>
  <c r="I474" i="9"/>
  <c r="H474" i="9"/>
  <c r="G474" i="9"/>
  <c r="I473" i="9"/>
  <c r="H473" i="9"/>
  <c r="G473" i="9"/>
  <c r="I472" i="9"/>
  <c r="H472" i="9"/>
  <c r="G472" i="9"/>
  <c r="I471" i="9"/>
  <c r="H471" i="9"/>
  <c r="G471" i="9"/>
  <c r="I470" i="9"/>
  <c r="H470" i="9"/>
  <c r="G470" i="9"/>
  <c r="I469" i="9"/>
  <c r="H469" i="9"/>
  <c r="G469" i="9"/>
  <c r="I468" i="9"/>
  <c r="H468" i="9"/>
  <c r="G468" i="9"/>
  <c r="I467" i="9"/>
  <c r="H467" i="9"/>
  <c r="G467" i="9"/>
  <c r="I466" i="9"/>
  <c r="H466" i="9"/>
  <c r="G466" i="9"/>
  <c r="I465" i="9"/>
  <c r="H465" i="9"/>
  <c r="G465" i="9"/>
  <c r="I464" i="9"/>
  <c r="H464" i="9"/>
  <c r="G464" i="9"/>
  <c r="I463" i="9"/>
  <c r="H463" i="9"/>
  <c r="G463" i="9"/>
  <c r="I462" i="9"/>
  <c r="H462" i="9"/>
  <c r="G462" i="9"/>
  <c r="I461" i="9"/>
  <c r="H461" i="9"/>
  <c r="G461" i="9"/>
  <c r="I460" i="9"/>
  <c r="H460" i="9"/>
  <c r="G460" i="9"/>
  <c r="I459" i="9"/>
  <c r="H459" i="9"/>
  <c r="G459" i="9"/>
  <c r="I458" i="9"/>
  <c r="H458" i="9"/>
  <c r="G458" i="9"/>
  <c r="I457" i="9"/>
  <c r="H457" i="9"/>
  <c r="G457" i="9"/>
  <c r="I456" i="9"/>
  <c r="H456" i="9"/>
  <c r="G456" i="9"/>
  <c r="I455" i="9"/>
  <c r="H455" i="9"/>
  <c r="G455" i="9"/>
  <c r="I454" i="9"/>
  <c r="H454" i="9"/>
  <c r="G454" i="9"/>
  <c r="I453" i="9"/>
  <c r="H453" i="9"/>
  <c r="G453" i="9"/>
  <c r="I452" i="9"/>
  <c r="H452" i="9"/>
  <c r="G452" i="9"/>
  <c r="I451" i="9"/>
  <c r="H451" i="9"/>
  <c r="G451" i="9"/>
  <c r="I450" i="9"/>
  <c r="H450" i="9"/>
  <c r="G450" i="9"/>
  <c r="I449" i="9"/>
  <c r="H449" i="9"/>
  <c r="G449" i="9"/>
  <c r="I448" i="9"/>
  <c r="H448" i="9"/>
  <c r="G448" i="9"/>
  <c r="I447" i="9"/>
  <c r="H447" i="9"/>
  <c r="G447" i="9"/>
  <c r="I446" i="9"/>
  <c r="H446" i="9"/>
  <c r="G446" i="9"/>
  <c r="I445" i="9"/>
  <c r="H445" i="9"/>
  <c r="G445" i="9"/>
  <c r="I444" i="9"/>
  <c r="H444" i="9"/>
  <c r="G444" i="9"/>
  <c r="I443" i="9"/>
  <c r="H443" i="9"/>
  <c r="G443" i="9"/>
  <c r="I442" i="9"/>
  <c r="H442" i="9"/>
  <c r="G442" i="9"/>
  <c r="I441" i="9"/>
  <c r="H441" i="9"/>
  <c r="G441" i="9"/>
  <c r="I440" i="9"/>
  <c r="H440" i="9"/>
  <c r="G440" i="9"/>
  <c r="I439" i="9"/>
  <c r="H439" i="9"/>
  <c r="G439" i="9"/>
  <c r="I438" i="9"/>
  <c r="H438" i="9"/>
  <c r="G438" i="9"/>
  <c r="I437" i="9"/>
  <c r="H437" i="9"/>
  <c r="G437" i="9"/>
  <c r="I436" i="9"/>
  <c r="H436" i="9"/>
  <c r="G436" i="9"/>
  <c r="I435" i="9"/>
  <c r="H435" i="9"/>
  <c r="G435" i="9"/>
  <c r="I434" i="9"/>
  <c r="H434" i="9"/>
  <c r="G434" i="9"/>
  <c r="I433" i="9"/>
  <c r="H433" i="9"/>
  <c r="G433" i="9"/>
  <c r="I432" i="9"/>
  <c r="H432" i="9"/>
  <c r="G432" i="9"/>
  <c r="I431" i="9"/>
  <c r="H431" i="9"/>
  <c r="G431" i="9"/>
  <c r="I430" i="9"/>
  <c r="H430" i="9"/>
  <c r="G430" i="9"/>
  <c r="I429" i="9"/>
  <c r="H429" i="9"/>
  <c r="G429" i="9"/>
  <c r="I428" i="9"/>
  <c r="H428" i="9"/>
  <c r="G428" i="9"/>
  <c r="I427" i="9"/>
  <c r="H427" i="9"/>
  <c r="G427" i="9"/>
  <c r="I426" i="9"/>
  <c r="H426" i="9"/>
  <c r="G426" i="9"/>
  <c r="I425" i="9"/>
  <c r="H425" i="9"/>
  <c r="G425" i="9"/>
  <c r="I424" i="9"/>
  <c r="H424" i="9"/>
  <c r="G424" i="9"/>
  <c r="I423" i="9"/>
  <c r="H423" i="9"/>
  <c r="G423" i="9"/>
  <c r="I422" i="9"/>
  <c r="H422" i="9"/>
  <c r="G422" i="9"/>
  <c r="I421" i="9"/>
  <c r="H421" i="9"/>
  <c r="G421" i="9"/>
  <c r="I420" i="9"/>
  <c r="H420" i="9"/>
  <c r="G420" i="9"/>
  <c r="I419" i="9"/>
  <c r="H419" i="9"/>
  <c r="G419" i="9"/>
  <c r="I418" i="9"/>
  <c r="H418" i="9"/>
  <c r="G418" i="9"/>
  <c r="I417" i="9"/>
  <c r="H417" i="9"/>
  <c r="G417" i="9"/>
  <c r="I416" i="9"/>
  <c r="H416" i="9"/>
  <c r="G416" i="9"/>
  <c r="I415" i="9"/>
  <c r="H415" i="9"/>
  <c r="G415" i="9"/>
  <c r="I414" i="9"/>
  <c r="H414" i="9"/>
  <c r="G414" i="9"/>
  <c r="I413" i="9"/>
  <c r="H413" i="9"/>
  <c r="G413" i="9"/>
  <c r="I412" i="9"/>
  <c r="H412" i="9"/>
  <c r="G412" i="9"/>
  <c r="I411" i="9"/>
  <c r="H411" i="9"/>
  <c r="G411" i="9"/>
  <c r="I410" i="9"/>
  <c r="H410" i="9"/>
  <c r="G410" i="9"/>
  <c r="I409" i="9"/>
  <c r="H409" i="9"/>
  <c r="G409" i="9"/>
  <c r="I408" i="9"/>
  <c r="H408" i="9"/>
  <c r="G408" i="9"/>
  <c r="I407" i="9"/>
  <c r="H407" i="9"/>
  <c r="G407" i="9"/>
  <c r="I406" i="9"/>
  <c r="H406" i="9"/>
  <c r="G406" i="9"/>
  <c r="I405" i="9"/>
  <c r="H405" i="9"/>
  <c r="G405" i="9"/>
  <c r="I404" i="9"/>
  <c r="H404" i="9"/>
  <c r="G404" i="9"/>
  <c r="I403" i="9"/>
  <c r="H403" i="9"/>
  <c r="G403" i="9"/>
  <c r="I402" i="9"/>
  <c r="H402" i="9"/>
  <c r="G402" i="9"/>
  <c r="I401" i="9"/>
  <c r="H401" i="9"/>
  <c r="G401" i="9"/>
  <c r="I400" i="9"/>
  <c r="H400" i="9"/>
  <c r="G400" i="9"/>
  <c r="I399" i="9"/>
  <c r="H399" i="9"/>
  <c r="G399" i="9"/>
  <c r="I398" i="9"/>
  <c r="H398" i="9"/>
  <c r="G398" i="9"/>
  <c r="I397" i="9"/>
  <c r="H397" i="9"/>
  <c r="G397" i="9"/>
  <c r="I396" i="9"/>
  <c r="H396" i="9"/>
  <c r="G396" i="9"/>
  <c r="I395" i="9"/>
  <c r="H395" i="9"/>
  <c r="G395" i="9"/>
  <c r="I394" i="9"/>
  <c r="H394" i="9"/>
  <c r="G394" i="9"/>
  <c r="I393" i="9"/>
  <c r="H393" i="9"/>
  <c r="G393" i="9"/>
  <c r="I392" i="9"/>
  <c r="H392" i="9"/>
  <c r="G392" i="9"/>
  <c r="I391" i="9"/>
  <c r="H391" i="9"/>
  <c r="G391" i="9"/>
  <c r="I390" i="9"/>
  <c r="H390" i="9"/>
  <c r="G390" i="9"/>
  <c r="I389" i="9"/>
  <c r="H389" i="9"/>
  <c r="G389" i="9"/>
  <c r="I388" i="9"/>
  <c r="H388" i="9"/>
  <c r="G388" i="9"/>
  <c r="I387" i="9"/>
  <c r="H387" i="9"/>
  <c r="G387" i="9"/>
  <c r="I386" i="9"/>
  <c r="H386" i="9"/>
  <c r="G386" i="9"/>
  <c r="I385" i="9"/>
  <c r="H385" i="9"/>
  <c r="G385" i="9"/>
  <c r="I384" i="9"/>
  <c r="H384" i="9"/>
  <c r="G384" i="9"/>
  <c r="I383" i="9"/>
  <c r="H383" i="9"/>
  <c r="G383" i="9"/>
  <c r="I382" i="9"/>
  <c r="H382" i="9"/>
  <c r="G382" i="9"/>
  <c r="I381" i="9"/>
  <c r="H381" i="9"/>
  <c r="G381" i="9"/>
  <c r="I380" i="9"/>
  <c r="H380" i="9"/>
  <c r="G380" i="9"/>
  <c r="I379" i="9"/>
  <c r="H379" i="9"/>
  <c r="G379" i="9"/>
  <c r="I378" i="9"/>
  <c r="H378" i="9"/>
  <c r="G378" i="9"/>
  <c r="I377" i="9"/>
  <c r="H377" i="9"/>
  <c r="G377" i="9"/>
  <c r="I376" i="9"/>
  <c r="H376" i="9"/>
  <c r="G376" i="9"/>
  <c r="I375" i="9"/>
  <c r="H375" i="9"/>
  <c r="G375" i="9"/>
  <c r="I374" i="9"/>
  <c r="H374" i="9"/>
  <c r="G374" i="9"/>
  <c r="I373" i="9"/>
  <c r="H373" i="9"/>
  <c r="G373" i="9"/>
  <c r="I372" i="9"/>
  <c r="H372" i="9"/>
  <c r="G372" i="9"/>
  <c r="I371" i="9"/>
  <c r="H371" i="9"/>
  <c r="G371" i="9"/>
  <c r="I370" i="9"/>
  <c r="H370" i="9"/>
  <c r="G370" i="9"/>
  <c r="I369" i="9"/>
  <c r="H369" i="9"/>
  <c r="G369" i="9"/>
  <c r="I368" i="9"/>
  <c r="H368" i="9"/>
  <c r="G368" i="9"/>
  <c r="I367" i="9"/>
  <c r="H367" i="9"/>
  <c r="G367" i="9"/>
  <c r="I366" i="9"/>
  <c r="H366" i="9"/>
  <c r="G366" i="9"/>
  <c r="I365" i="9"/>
  <c r="H365" i="9"/>
  <c r="G365" i="9"/>
  <c r="I364" i="9"/>
  <c r="H364" i="9"/>
  <c r="G364" i="9"/>
  <c r="I363" i="9"/>
  <c r="H363" i="9"/>
  <c r="G363" i="9"/>
  <c r="I362" i="9"/>
  <c r="H362" i="9"/>
  <c r="G362" i="9"/>
  <c r="I361" i="9"/>
  <c r="H361" i="9"/>
  <c r="G361" i="9"/>
  <c r="I360" i="9"/>
  <c r="H360" i="9"/>
  <c r="G360" i="9"/>
  <c r="I359" i="9"/>
  <c r="H359" i="9"/>
  <c r="G359" i="9"/>
  <c r="I358" i="9"/>
  <c r="H358" i="9"/>
  <c r="G358" i="9"/>
  <c r="I357" i="9"/>
  <c r="H357" i="9"/>
  <c r="G357" i="9"/>
  <c r="I356" i="9"/>
  <c r="H356" i="9"/>
  <c r="G356" i="9"/>
  <c r="I355" i="9"/>
  <c r="H355" i="9"/>
  <c r="G355" i="9"/>
  <c r="I354" i="9"/>
  <c r="H354" i="9"/>
  <c r="G354" i="9"/>
  <c r="I353" i="9"/>
  <c r="H353" i="9"/>
  <c r="G353" i="9"/>
  <c r="I352" i="9"/>
  <c r="H352" i="9"/>
  <c r="G352" i="9"/>
  <c r="I351" i="9"/>
  <c r="H351" i="9"/>
  <c r="G351" i="9"/>
  <c r="I350" i="9"/>
  <c r="H350" i="9"/>
  <c r="G350" i="9"/>
  <c r="I349" i="9"/>
  <c r="H349" i="9"/>
  <c r="G349" i="9"/>
  <c r="I348" i="9"/>
  <c r="H348" i="9"/>
  <c r="G348" i="9"/>
  <c r="I347" i="9"/>
  <c r="H347" i="9"/>
  <c r="G347" i="9"/>
  <c r="I346" i="9"/>
  <c r="H346" i="9"/>
  <c r="G346" i="9"/>
  <c r="I345" i="9"/>
  <c r="H345" i="9"/>
  <c r="G345" i="9"/>
  <c r="I344" i="9"/>
  <c r="H344" i="9"/>
  <c r="G344" i="9"/>
  <c r="I343" i="9"/>
  <c r="H343" i="9"/>
  <c r="G343" i="9"/>
  <c r="I342" i="9"/>
  <c r="H342" i="9"/>
  <c r="G342" i="9"/>
  <c r="I341" i="9"/>
  <c r="H341" i="9"/>
  <c r="G341" i="9"/>
  <c r="I340" i="9"/>
  <c r="H340" i="9"/>
  <c r="G340" i="9"/>
  <c r="I339" i="9"/>
  <c r="H339" i="9"/>
  <c r="G339" i="9"/>
  <c r="I338" i="9"/>
  <c r="H338" i="9"/>
  <c r="G338" i="9"/>
  <c r="I337" i="9"/>
  <c r="H337" i="9"/>
  <c r="G337" i="9"/>
  <c r="I336" i="9"/>
  <c r="H336" i="9"/>
  <c r="G336" i="9"/>
  <c r="I335" i="9"/>
  <c r="H335" i="9"/>
  <c r="G335" i="9"/>
  <c r="I334" i="9"/>
  <c r="H334" i="9"/>
  <c r="G334" i="9"/>
  <c r="I333" i="9"/>
  <c r="H333" i="9"/>
  <c r="G333" i="9"/>
  <c r="I332" i="9"/>
  <c r="H332" i="9"/>
  <c r="G332" i="9"/>
  <c r="I331" i="9"/>
  <c r="H331" i="9"/>
  <c r="G331" i="9"/>
  <c r="I330" i="9"/>
  <c r="H330" i="9"/>
  <c r="G330" i="9"/>
  <c r="I329" i="9"/>
  <c r="H329" i="9"/>
  <c r="G329" i="9"/>
  <c r="I328" i="9"/>
  <c r="H328" i="9"/>
  <c r="G328" i="9"/>
  <c r="I327" i="9"/>
  <c r="H327" i="9"/>
  <c r="G327" i="9"/>
  <c r="I326" i="9"/>
  <c r="H326" i="9"/>
  <c r="G326" i="9"/>
  <c r="I325" i="9"/>
  <c r="H325" i="9"/>
  <c r="G325" i="9"/>
  <c r="I324" i="9"/>
  <c r="H324" i="9"/>
  <c r="G324" i="9"/>
  <c r="I323" i="9"/>
  <c r="H323" i="9"/>
  <c r="G323" i="9"/>
  <c r="I322" i="9"/>
  <c r="H322" i="9"/>
  <c r="G322" i="9"/>
  <c r="I321" i="9"/>
  <c r="H321" i="9"/>
  <c r="G321" i="9"/>
  <c r="I320" i="9"/>
  <c r="H320" i="9"/>
  <c r="G320" i="9"/>
  <c r="I319" i="9"/>
  <c r="H319" i="9"/>
  <c r="G319" i="9"/>
  <c r="I318" i="9"/>
  <c r="H318" i="9"/>
  <c r="G318" i="9"/>
  <c r="I317" i="9"/>
  <c r="H317" i="9"/>
  <c r="G317" i="9"/>
  <c r="I316" i="9"/>
  <c r="H316" i="9"/>
  <c r="G316" i="9"/>
  <c r="I315" i="9"/>
  <c r="H315" i="9"/>
  <c r="G315" i="9"/>
  <c r="I314" i="9"/>
  <c r="H314" i="9"/>
  <c r="G314" i="9"/>
  <c r="I313" i="9"/>
  <c r="H313" i="9"/>
  <c r="G313" i="9"/>
  <c r="I312" i="9"/>
  <c r="H312" i="9"/>
  <c r="G312" i="9"/>
  <c r="I311" i="9"/>
  <c r="H311" i="9"/>
  <c r="G311" i="9"/>
  <c r="I310" i="9"/>
  <c r="H310" i="9"/>
  <c r="G310" i="9"/>
  <c r="I309" i="9"/>
  <c r="H309" i="9"/>
  <c r="G309" i="9"/>
  <c r="I308" i="9"/>
  <c r="H308" i="9"/>
  <c r="G308" i="9"/>
  <c r="I307" i="9"/>
  <c r="H307" i="9"/>
  <c r="G307" i="9"/>
  <c r="I306" i="9"/>
  <c r="H306" i="9"/>
  <c r="G306" i="9"/>
  <c r="I305" i="9"/>
  <c r="H305" i="9"/>
  <c r="G305" i="9"/>
  <c r="I304" i="9"/>
  <c r="H304" i="9"/>
  <c r="G304" i="9"/>
  <c r="I303" i="9"/>
  <c r="H303" i="9"/>
  <c r="G303" i="9"/>
  <c r="I302" i="9"/>
  <c r="H302" i="9"/>
  <c r="G302" i="9"/>
  <c r="I301" i="9"/>
  <c r="H301" i="9"/>
  <c r="G301" i="9"/>
  <c r="I300" i="9"/>
  <c r="H300" i="9"/>
  <c r="G300" i="9"/>
  <c r="I299" i="9"/>
  <c r="H299" i="9"/>
  <c r="G299" i="9"/>
  <c r="I298" i="9"/>
  <c r="H298" i="9"/>
  <c r="G298" i="9"/>
  <c r="I297" i="9"/>
  <c r="H297" i="9"/>
  <c r="G297" i="9"/>
  <c r="I296" i="9"/>
  <c r="H296" i="9"/>
  <c r="G296" i="9"/>
  <c r="I295" i="9"/>
  <c r="H295" i="9"/>
  <c r="G295" i="9"/>
  <c r="I294" i="9"/>
  <c r="H294" i="9"/>
  <c r="G294" i="9"/>
  <c r="I293" i="9"/>
  <c r="H293" i="9"/>
  <c r="G293" i="9"/>
  <c r="I292" i="9"/>
  <c r="H292" i="9"/>
  <c r="G292" i="9"/>
  <c r="I291" i="9"/>
  <c r="H291" i="9"/>
  <c r="G291" i="9"/>
  <c r="I290" i="9"/>
  <c r="H290" i="9"/>
  <c r="G290" i="9"/>
  <c r="I289" i="9"/>
  <c r="H289" i="9"/>
  <c r="G289" i="9"/>
  <c r="I288" i="9"/>
  <c r="H288" i="9"/>
  <c r="G288" i="9"/>
  <c r="I287" i="9"/>
  <c r="H287" i="9"/>
  <c r="G287" i="9"/>
  <c r="I286" i="9"/>
  <c r="H286" i="9"/>
  <c r="G286" i="9"/>
  <c r="I285" i="9"/>
  <c r="H285" i="9"/>
  <c r="G285" i="9"/>
  <c r="I284" i="9"/>
  <c r="H284" i="9"/>
  <c r="G284" i="9"/>
  <c r="I283" i="9"/>
  <c r="H283" i="9"/>
  <c r="G283" i="9"/>
  <c r="I282" i="9"/>
  <c r="H282" i="9"/>
  <c r="G282" i="9"/>
  <c r="I281" i="9"/>
  <c r="H281" i="9"/>
  <c r="G281" i="9"/>
  <c r="I280" i="9"/>
  <c r="H280" i="9"/>
  <c r="G280" i="9"/>
  <c r="I279" i="9"/>
  <c r="H279" i="9"/>
  <c r="G279" i="9"/>
  <c r="I278" i="9"/>
  <c r="H278" i="9"/>
  <c r="G278" i="9"/>
  <c r="I277" i="9"/>
  <c r="H277" i="9"/>
  <c r="G277" i="9"/>
  <c r="I276" i="9"/>
  <c r="H276" i="9"/>
  <c r="G276" i="9"/>
  <c r="I275" i="9"/>
  <c r="H275" i="9"/>
  <c r="G275" i="9"/>
  <c r="I274" i="9"/>
  <c r="H274" i="9"/>
  <c r="G274" i="9"/>
  <c r="I273" i="9"/>
  <c r="H273" i="9"/>
  <c r="G273" i="9"/>
  <c r="I272" i="9"/>
  <c r="H272" i="9"/>
  <c r="G272" i="9"/>
  <c r="I271" i="9"/>
  <c r="H271" i="9"/>
  <c r="G271" i="9"/>
  <c r="I270" i="9"/>
  <c r="H270" i="9"/>
  <c r="G270" i="9"/>
  <c r="I269" i="9"/>
  <c r="H269" i="9"/>
  <c r="G269" i="9"/>
  <c r="I268" i="9"/>
  <c r="H268" i="9"/>
  <c r="G268" i="9"/>
  <c r="I267" i="9"/>
  <c r="H267" i="9"/>
  <c r="G267" i="9"/>
  <c r="I266" i="9"/>
  <c r="H266" i="9"/>
  <c r="G266" i="9"/>
  <c r="I265" i="9"/>
  <c r="H265" i="9"/>
  <c r="G265" i="9"/>
  <c r="I264" i="9"/>
  <c r="H264" i="9"/>
  <c r="G264" i="9"/>
  <c r="I263" i="9"/>
  <c r="H263" i="9"/>
  <c r="G263" i="9"/>
  <c r="I262" i="9"/>
  <c r="H262" i="9"/>
  <c r="G262" i="9"/>
  <c r="I261" i="9"/>
  <c r="H261" i="9"/>
  <c r="G261" i="9"/>
  <c r="I260" i="9"/>
  <c r="H260" i="9"/>
  <c r="G260" i="9"/>
  <c r="I259" i="9"/>
  <c r="H259" i="9"/>
  <c r="G259" i="9"/>
  <c r="I258" i="9"/>
  <c r="H258" i="9"/>
  <c r="G258" i="9"/>
  <c r="I257" i="9"/>
  <c r="H257" i="9"/>
  <c r="G257" i="9"/>
  <c r="I256" i="9"/>
  <c r="H256" i="9"/>
  <c r="G256" i="9"/>
  <c r="I255" i="9"/>
  <c r="H255" i="9"/>
  <c r="G255" i="9"/>
  <c r="I254" i="9"/>
  <c r="H254" i="9"/>
  <c r="G254" i="9"/>
  <c r="I253" i="9"/>
  <c r="H253" i="9"/>
  <c r="G253" i="9"/>
  <c r="I252" i="9"/>
  <c r="H252" i="9"/>
  <c r="G252" i="9"/>
  <c r="I251" i="9"/>
  <c r="H251" i="9"/>
  <c r="G251" i="9"/>
  <c r="I250" i="9"/>
  <c r="H250" i="9"/>
  <c r="G250" i="9"/>
  <c r="I249" i="9"/>
  <c r="H249" i="9"/>
  <c r="G249" i="9"/>
  <c r="I248" i="9"/>
  <c r="H248" i="9"/>
  <c r="G248" i="9"/>
  <c r="I247" i="9"/>
  <c r="H247" i="9"/>
  <c r="G247" i="9"/>
  <c r="I246" i="9"/>
  <c r="H246" i="9"/>
  <c r="G246" i="9"/>
  <c r="I245" i="9"/>
  <c r="H245" i="9"/>
  <c r="G245" i="9"/>
  <c r="I244" i="9"/>
  <c r="H244" i="9"/>
  <c r="G244" i="9"/>
  <c r="I243" i="9"/>
  <c r="H243" i="9"/>
  <c r="G243" i="9"/>
  <c r="I242" i="9"/>
  <c r="H242" i="9"/>
  <c r="G242" i="9"/>
  <c r="I241" i="9"/>
  <c r="H241" i="9"/>
  <c r="G241" i="9"/>
  <c r="I240" i="9"/>
  <c r="H240" i="9"/>
  <c r="G240" i="9"/>
  <c r="I239" i="9"/>
  <c r="H239" i="9"/>
  <c r="G239" i="9"/>
  <c r="I238" i="9"/>
  <c r="H238" i="9"/>
  <c r="G238" i="9"/>
  <c r="I237" i="9"/>
  <c r="H237" i="9"/>
  <c r="G237" i="9"/>
  <c r="I236" i="9"/>
  <c r="H236" i="9"/>
  <c r="G236" i="9"/>
  <c r="I235" i="9"/>
  <c r="H235" i="9"/>
  <c r="G235" i="9"/>
  <c r="I234" i="9"/>
  <c r="H234" i="9"/>
  <c r="G234" i="9"/>
  <c r="I233" i="9"/>
  <c r="H233" i="9"/>
  <c r="G233" i="9"/>
  <c r="I232" i="9"/>
  <c r="H232" i="9"/>
  <c r="G232" i="9"/>
  <c r="I231" i="9"/>
  <c r="H231" i="9"/>
  <c r="G231" i="9"/>
  <c r="I230" i="9"/>
  <c r="H230" i="9"/>
  <c r="G230" i="9"/>
  <c r="I229" i="9"/>
  <c r="H229" i="9"/>
  <c r="G229" i="9"/>
  <c r="I228" i="9"/>
  <c r="H228" i="9"/>
  <c r="G228" i="9"/>
  <c r="I227" i="9"/>
  <c r="H227" i="9"/>
  <c r="G227" i="9"/>
  <c r="I226" i="9"/>
  <c r="H226" i="9"/>
  <c r="G226" i="9"/>
  <c r="I225" i="9"/>
  <c r="H225" i="9"/>
  <c r="G225" i="9"/>
  <c r="I224" i="9"/>
  <c r="H224" i="9"/>
  <c r="G224" i="9"/>
  <c r="I223" i="9"/>
  <c r="H223" i="9"/>
  <c r="G223" i="9"/>
  <c r="I222" i="9"/>
  <c r="H222" i="9"/>
  <c r="G222" i="9"/>
  <c r="I221" i="9"/>
  <c r="H221" i="9"/>
  <c r="G221" i="9"/>
  <c r="I220" i="9"/>
  <c r="H220" i="9"/>
  <c r="G220" i="9"/>
  <c r="I219" i="9"/>
  <c r="H219" i="9"/>
  <c r="G219" i="9"/>
  <c r="I218" i="9"/>
  <c r="H218" i="9"/>
  <c r="G218" i="9"/>
  <c r="I217" i="9"/>
  <c r="H217" i="9"/>
  <c r="G217" i="9"/>
  <c r="I216" i="9"/>
  <c r="H216" i="9"/>
  <c r="G216" i="9"/>
  <c r="I215" i="9"/>
  <c r="H215" i="9"/>
  <c r="G215" i="9"/>
  <c r="I214" i="9"/>
  <c r="H214" i="9"/>
  <c r="G214" i="9"/>
  <c r="I213" i="9"/>
  <c r="H213" i="9"/>
  <c r="G213" i="9"/>
  <c r="I212" i="9"/>
  <c r="H212" i="9"/>
  <c r="G212" i="9"/>
  <c r="I211" i="9"/>
  <c r="H211" i="9"/>
  <c r="G211" i="9"/>
  <c r="I210" i="9"/>
  <c r="H210" i="9"/>
  <c r="G210" i="9"/>
  <c r="I209" i="9"/>
  <c r="H209" i="9"/>
  <c r="G209" i="9"/>
  <c r="I208" i="9"/>
  <c r="H208" i="9"/>
  <c r="G208" i="9"/>
  <c r="I207" i="9"/>
  <c r="H207" i="9"/>
  <c r="G207" i="9"/>
  <c r="I206" i="9"/>
  <c r="H206" i="9"/>
  <c r="G206" i="9"/>
  <c r="I205" i="9"/>
  <c r="H205" i="9"/>
  <c r="G205" i="9"/>
  <c r="I204" i="9"/>
  <c r="H204" i="9"/>
  <c r="G204" i="9"/>
  <c r="I203" i="9"/>
  <c r="H203" i="9"/>
  <c r="G203" i="9"/>
  <c r="I202" i="9"/>
  <c r="H202" i="9"/>
  <c r="G202" i="9"/>
  <c r="I201" i="9"/>
  <c r="H201" i="9"/>
  <c r="G201" i="9"/>
  <c r="I200" i="9"/>
  <c r="H200" i="9"/>
  <c r="G200" i="9"/>
  <c r="I199" i="9"/>
  <c r="H199" i="9"/>
  <c r="G199" i="9"/>
  <c r="I198" i="9"/>
  <c r="H198" i="9"/>
  <c r="G198" i="9"/>
  <c r="I197" i="9"/>
  <c r="H197" i="9"/>
  <c r="G197" i="9"/>
  <c r="I196" i="9"/>
  <c r="H196" i="9"/>
  <c r="G196" i="9"/>
  <c r="I195" i="9"/>
  <c r="H195" i="9"/>
  <c r="G195" i="9"/>
  <c r="I194" i="9"/>
  <c r="H194" i="9"/>
  <c r="G194" i="9"/>
  <c r="I193" i="9"/>
  <c r="H193" i="9"/>
  <c r="G193" i="9"/>
  <c r="I192" i="9"/>
  <c r="H192" i="9"/>
  <c r="G192" i="9"/>
  <c r="I191" i="9"/>
  <c r="H191" i="9"/>
  <c r="G191" i="9"/>
  <c r="I190" i="9"/>
  <c r="H190" i="9"/>
  <c r="G190" i="9"/>
  <c r="I189" i="9"/>
  <c r="H189" i="9"/>
  <c r="G189" i="9"/>
  <c r="I188" i="9"/>
  <c r="H188" i="9"/>
  <c r="G188" i="9"/>
  <c r="I187" i="9"/>
  <c r="H187" i="9"/>
  <c r="G187" i="9"/>
  <c r="I186" i="9"/>
  <c r="H186" i="9"/>
  <c r="G186" i="9"/>
  <c r="I185" i="9"/>
  <c r="H185" i="9"/>
  <c r="G185" i="9"/>
  <c r="I184" i="9"/>
  <c r="H184" i="9"/>
  <c r="G184" i="9"/>
  <c r="I183" i="9"/>
  <c r="H183" i="9"/>
  <c r="G183" i="9"/>
  <c r="I182" i="9"/>
  <c r="H182" i="9"/>
  <c r="G182" i="9"/>
  <c r="I181" i="9"/>
  <c r="H181" i="9"/>
  <c r="G181" i="9"/>
  <c r="I180" i="9"/>
  <c r="H180" i="9"/>
  <c r="G180" i="9"/>
  <c r="I179" i="9"/>
  <c r="H179" i="9"/>
  <c r="G179" i="9"/>
  <c r="I178" i="9"/>
  <c r="H178" i="9"/>
  <c r="G178" i="9"/>
  <c r="I177" i="9"/>
  <c r="H177" i="9"/>
  <c r="G177" i="9"/>
  <c r="I176" i="9"/>
  <c r="H176" i="9"/>
  <c r="G176" i="9"/>
  <c r="I175" i="9"/>
  <c r="H175" i="9"/>
  <c r="G175" i="9"/>
  <c r="I174" i="9"/>
  <c r="H174" i="9"/>
  <c r="G174" i="9"/>
  <c r="I173" i="9"/>
  <c r="H173" i="9"/>
  <c r="G173" i="9"/>
  <c r="I172" i="9"/>
  <c r="H172" i="9"/>
  <c r="G172" i="9"/>
  <c r="I171" i="9"/>
  <c r="H171" i="9"/>
  <c r="G171" i="9"/>
  <c r="I170" i="9"/>
  <c r="H170" i="9"/>
  <c r="G170" i="9"/>
  <c r="I169" i="9"/>
  <c r="H169" i="9"/>
  <c r="G169" i="9"/>
  <c r="I168" i="9"/>
  <c r="H168" i="9"/>
  <c r="G168" i="9"/>
  <c r="I167" i="9"/>
  <c r="H167" i="9"/>
  <c r="G167" i="9"/>
  <c r="I166" i="9"/>
  <c r="H166" i="9"/>
  <c r="G166" i="9"/>
  <c r="I165" i="9"/>
  <c r="H165" i="9"/>
  <c r="G165" i="9"/>
  <c r="I164" i="9"/>
  <c r="H164" i="9"/>
  <c r="G164" i="9"/>
  <c r="I163" i="9"/>
  <c r="H163" i="9"/>
  <c r="G163" i="9"/>
  <c r="I162" i="9"/>
  <c r="H162" i="9"/>
  <c r="G162" i="9"/>
  <c r="I161" i="9"/>
  <c r="H161" i="9"/>
  <c r="G161" i="9"/>
  <c r="I160" i="9"/>
  <c r="H160" i="9"/>
  <c r="G160" i="9"/>
  <c r="I159" i="9"/>
  <c r="H159" i="9"/>
  <c r="G159" i="9"/>
  <c r="I158" i="9"/>
  <c r="H158" i="9"/>
  <c r="G158" i="9"/>
  <c r="I157" i="9"/>
  <c r="H157" i="9"/>
  <c r="G157" i="9"/>
  <c r="I156" i="9"/>
  <c r="H156" i="9"/>
  <c r="G156" i="9"/>
  <c r="I155" i="9"/>
  <c r="H155" i="9"/>
  <c r="G155" i="9"/>
  <c r="I154" i="9"/>
  <c r="H154" i="9"/>
  <c r="G154" i="9"/>
  <c r="I153" i="9"/>
  <c r="H153" i="9"/>
  <c r="G153" i="9"/>
  <c r="H152" i="9" l="1"/>
  <c r="G152" i="9"/>
  <c r="I152" i="9"/>
  <c r="I151" i="9"/>
  <c r="H151" i="9"/>
  <c r="G151" i="9"/>
  <c r="I150" i="9"/>
  <c r="H150" i="9"/>
  <c r="G150" i="9"/>
  <c r="I149" i="9"/>
  <c r="H149" i="9"/>
  <c r="G149" i="9"/>
  <c r="I148" i="9"/>
  <c r="H148" i="9"/>
  <c r="G148" i="9"/>
  <c r="I147" i="9"/>
  <c r="H147" i="9"/>
  <c r="G147" i="9"/>
  <c r="I146" i="9"/>
  <c r="H146" i="9"/>
  <c r="G146" i="9"/>
  <c r="I145" i="9"/>
  <c r="H145" i="9"/>
  <c r="G145" i="9"/>
  <c r="I144" i="9"/>
  <c r="H144" i="9"/>
  <c r="G144" i="9"/>
  <c r="I143" i="9"/>
  <c r="H143" i="9"/>
  <c r="G143" i="9"/>
  <c r="I142" i="9"/>
  <c r="H142" i="9"/>
  <c r="G142" i="9"/>
  <c r="I141" i="9"/>
  <c r="H141" i="9"/>
  <c r="G141" i="9"/>
  <c r="I140" i="9"/>
  <c r="H140" i="9"/>
  <c r="G140" i="9"/>
  <c r="I139" i="9"/>
  <c r="H139" i="9"/>
  <c r="G139" i="9"/>
  <c r="I138" i="9"/>
  <c r="H138" i="9"/>
  <c r="G138" i="9"/>
  <c r="I137" i="9"/>
  <c r="H137" i="9"/>
  <c r="G137" i="9"/>
  <c r="I136" i="9"/>
  <c r="H136" i="9"/>
  <c r="G136" i="9"/>
  <c r="I135" i="9"/>
  <c r="H135" i="9"/>
  <c r="G135" i="9"/>
  <c r="I134" i="9"/>
  <c r="H134" i="9"/>
  <c r="G134" i="9"/>
  <c r="I132" i="9"/>
  <c r="H132" i="9"/>
  <c r="G132" i="9"/>
  <c r="I131" i="9"/>
  <c r="H131" i="9"/>
  <c r="G131" i="9"/>
  <c r="I130" i="9"/>
  <c r="H130" i="9"/>
  <c r="G130" i="9"/>
  <c r="I129" i="9"/>
  <c r="H129" i="9"/>
  <c r="G129" i="9"/>
  <c r="I128" i="9"/>
  <c r="H128" i="9"/>
  <c r="G128" i="9"/>
  <c r="I127" i="9"/>
  <c r="H127" i="9"/>
  <c r="G127" i="9"/>
  <c r="I126" i="9"/>
  <c r="H126" i="9"/>
  <c r="G126" i="9"/>
  <c r="I125" i="9"/>
  <c r="H125" i="9"/>
  <c r="G125" i="9"/>
  <c r="I124" i="9"/>
  <c r="H124" i="9"/>
  <c r="G124" i="9"/>
  <c r="I123" i="9"/>
  <c r="H123" i="9"/>
  <c r="G123" i="9"/>
  <c r="I122" i="9"/>
  <c r="H122" i="9"/>
  <c r="G122" i="9"/>
  <c r="I121" i="9"/>
  <c r="H121" i="9"/>
  <c r="G121" i="9"/>
  <c r="I120" i="9"/>
  <c r="H120" i="9"/>
  <c r="G120" i="9"/>
  <c r="I119" i="9"/>
  <c r="H119" i="9"/>
  <c r="G119" i="9"/>
  <c r="I118" i="9"/>
  <c r="H118" i="9"/>
  <c r="G118" i="9"/>
  <c r="I117" i="9"/>
  <c r="H117" i="9"/>
  <c r="G117" i="9"/>
  <c r="I116" i="9"/>
  <c r="H116" i="9"/>
  <c r="G116" i="9"/>
  <c r="I115" i="9"/>
  <c r="H115" i="9"/>
  <c r="G115" i="9"/>
  <c r="I114" i="9"/>
  <c r="H114" i="9"/>
  <c r="G114" i="9"/>
  <c r="I113" i="9"/>
  <c r="H113" i="9"/>
  <c r="G113" i="9"/>
  <c r="I112" i="9"/>
  <c r="H112" i="9"/>
  <c r="G112" i="9"/>
  <c r="I111" i="9"/>
  <c r="H111" i="9"/>
  <c r="G111" i="9"/>
  <c r="I110" i="9"/>
  <c r="H110" i="9"/>
  <c r="G110" i="9"/>
  <c r="I109" i="9"/>
  <c r="H109" i="9"/>
  <c r="G109" i="9"/>
  <c r="I108" i="9"/>
  <c r="H108" i="9"/>
  <c r="G108" i="9"/>
  <c r="I107" i="9"/>
  <c r="H107" i="9"/>
  <c r="G107" i="9"/>
  <c r="I106" i="9"/>
  <c r="H106" i="9"/>
  <c r="G106" i="9"/>
  <c r="I105" i="9"/>
  <c r="H105" i="9"/>
  <c r="G105" i="9"/>
  <c r="I104" i="9"/>
  <c r="H104" i="9"/>
  <c r="G104" i="9"/>
  <c r="I103" i="9"/>
  <c r="H103" i="9"/>
  <c r="G103" i="9"/>
  <c r="I102" i="9"/>
  <c r="H102" i="9"/>
  <c r="G102" i="9"/>
  <c r="I101" i="9"/>
  <c r="H101" i="9"/>
  <c r="G101" i="9"/>
  <c r="I100" i="9"/>
  <c r="H100" i="9"/>
  <c r="G100" i="9"/>
  <c r="I99" i="9"/>
  <c r="H99" i="9"/>
  <c r="G99" i="9"/>
  <c r="I98" i="9"/>
  <c r="H98" i="9"/>
  <c r="G98" i="9"/>
  <c r="I97" i="9"/>
  <c r="H97" i="9"/>
  <c r="G97" i="9"/>
  <c r="I96" i="9"/>
  <c r="H96" i="9"/>
  <c r="G96" i="9"/>
  <c r="I95" i="9"/>
  <c r="H95" i="9"/>
  <c r="G95" i="9"/>
  <c r="I94" i="9"/>
  <c r="H94" i="9"/>
  <c r="G94" i="9"/>
  <c r="I93" i="9"/>
  <c r="H93" i="9"/>
  <c r="G93" i="9"/>
  <c r="I92" i="9"/>
  <c r="H92" i="9"/>
  <c r="G92" i="9"/>
  <c r="I91" i="9"/>
  <c r="H91" i="9"/>
  <c r="G91" i="9"/>
  <c r="I90" i="9"/>
  <c r="H90" i="9"/>
  <c r="G90" i="9"/>
  <c r="I89" i="9"/>
  <c r="H89" i="9"/>
  <c r="G89" i="9"/>
  <c r="I88" i="9"/>
  <c r="H88" i="9"/>
  <c r="G88" i="9"/>
  <c r="I87" i="9"/>
  <c r="H87" i="9"/>
  <c r="G87" i="9"/>
  <c r="I86" i="9"/>
  <c r="H86" i="9"/>
  <c r="G86" i="9"/>
  <c r="I85" i="9"/>
  <c r="H85" i="9"/>
  <c r="G85" i="9"/>
  <c r="I84" i="9"/>
  <c r="H84" i="9"/>
  <c r="G84" i="9"/>
  <c r="I83" i="9"/>
  <c r="H83" i="9"/>
  <c r="G83" i="9"/>
  <c r="I82" i="9"/>
  <c r="H82" i="9"/>
  <c r="G82" i="9"/>
  <c r="I81" i="9"/>
  <c r="H81" i="9"/>
  <c r="G81" i="9"/>
  <c r="I80" i="9"/>
  <c r="H80" i="9"/>
  <c r="G80" i="9"/>
  <c r="I79" i="9"/>
  <c r="H79" i="9"/>
  <c r="G79" i="9"/>
  <c r="I78" i="9"/>
  <c r="H78" i="9"/>
  <c r="G78" i="9"/>
  <c r="I77" i="9"/>
  <c r="H77" i="9"/>
  <c r="G77" i="9"/>
  <c r="I76" i="9"/>
  <c r="H76" i="9"/>
  <c r="G76" i="9"/>
  <c r="I75" i="9"/>
  <c r="H75" i="9"/>
  <c r="G75" i="9"/>
  <c r="I74" i="9"/>
  <c r="H74" i="9"/>
  <c r="G74" i="9"/>
  <c r="I73" i="9"/>
  <c r="H73" i="9"/>
  <c r="G73" i="9"/>
  <c r="I72" i="9"/>
  <c r="H72" i="9"/>
  <c r="G72" i="9"/>
  <c r="I71" i="9"/>
  <c r="H71" i="9"/>
  <c r="G71" i="9"/>
  <c r="I70" i="9"/>
  <c r="H70" i="9"/>
  <c r="G70" i="9"/>
  <c r="I69" i="9"/>
  <c r="H69" i="9"/>
  <c r="G69" i="9"/>
  <c r="I68" i="9"/>
  <c r="H68" i="9"/>
  <c r="G68" i="9"/>
  <c r="I67" i="9"/>
  <c r="H67" i="9"/>
  <c r="G67" i="9"/>
  <c r="I66" i="9"/>
  <c r="H66" i="9"/>
  <c r="G66" i="9"/>
  <c r="I65" i="9"/>
  <c r="H65" i="9"/>
  <c r="G65" i="9"/>
  <c r="I64" i="9"/>
  <c r="H64" i="9"/>
  <c r="G64" i="9"/>
  <c r="I63" i="9"/>
  <c r="H63" i="9"/>
  <c r="G63" i="9"/>
  <c r="I62" i="9"/>
  <c r="H62" i="9"/>
  <c r="G62" i="9"/>
  <c r="I61" i="9"/>
  <c r="H61" i="9"/>
  <c r="G61" i="9"/>
  <c r="I60" i="9"/>
  <c r="H60" i="9"/>
  <c r="G60" i="9"/>
  <c r="I59" i="9"/>
  <c r="H59" i="9"/>
  <c r="G59" i="9"/>
  <c r="I58" i="9"/>
  <c r="H58" i="9"/>
  <c r="G58" i="9"/>
  <c r="I56" i="9"/>
  <c r="H56" i="9"/>
  <c r="G56" i="9"/>
  <c r="I55" i="9"/>
  <c r="H55" i="9"/>
  <c r="G55" i="9"/>
  <c r="I54" i="9"/>
  <c r="H54" i="9"/>
  <c r="G54" i="9"/>
  <c r="I53" i="9"/>
  <c r="H53" i="9"/>
  <c r="G53" i="9"/>
  <c r="I52" i="9"/>
  <c r="H52" i="9"/>
  <c r="G52" i="9"/>
  <c r="I51" i="9"/>
  <c r="H51" i="9"/>
  <c r="G51" i="9"/>
  <c r="I50" i="9"/>
  <c r="H50" i="9"/>
  <c r="G50" i="9"/>
  <c r="I49" i="9"/>
  <c r="H49" i="9"/>
  <c r="G49" i="9"/>
  <c r="I48" i="9"/>
  <c r="H48" i="9"/>
  <c r="G48" i="9"/>
  <c r="I47" i="9"/>
  <c r="H47" i="9"/>
  <c r="G47" i="9"/>
  <c r="I46" i="9"/>
  <c r="H46" i="9"/>
  <c r="G46" i="9"/>
  <c r="I45" i="9"/>
  <c r="H45" i="9"/>
  <c r="G45" i="9"/>
  <c r="I44" i="9"/>
  <c r="H44" i="9"/>
  <c r="G44" i="9"/>
  <c r="I43" i="9"/>
  <c r="H43" i="9"/>
  <c r="G43" i="9"/>
  <c r="I42" i="9"/>
  <c r="H42" i="9"/>
  <c r="G42" i="9"/>
  <c r="I41" i="9"/>
  <c r="H41" i="9"/>
  <c r="G41" i="9"/>
  <c r="I40" i="9"/>
  <c r="H40" i="9"/>
  <c r="G40" i="9"/>
  <c r="I39" i="9"/>
  <c r="H39" i="9"/>
  <c r="G39" i="9"/>
  <c r="I38" i="9"/>
  <c r="H38" i="9"/>
  <c r="G38" i="9"/>
  <c r="I37" i="9"/>
  <c r="H37" i="9"/>
  <c r="G37" i="9"/>
  <c r="I36" i="9"/>
  <c r="H36" i="9"/>
  <c r="G36" i="9"/>
  <c r="I35" i="9"/>
  <c r="H35" i="9"/>
  <c r="G35" i="9"/>
  <c r="I34" i="9"/>
  <c r="H34" i="9"/>
  <c r="G34" i="9"/>
  <c r="I33" i="9"/>
  <c r="H33" i="9"/>
  <c r="G33" i="9"/>
  <c r="I32" i="9"/>
  <c r="H32" i="9"/>
  <c r="G32" i="9"/>
  <c r="I31" i="9"/>
  <c r="H31" i="9"/>
  <c r="G31" i="9"/>
  <c r="I30" i="9"/>
  <c r="H30" i="9"/>
  <c r="G30" i="9"/>
  <c r="I29" i="9"/>
  <c r="H29" i="9"/>
  <c r="G29" i="9"/>
  <c r="I28" i="9"/>
  <c r="H28" i="9"/>
  <c r="G28" i="9"/>
  <c r="I27" i="9"/>
  <c r="H27" i="9"/>
  <c r="G27" i="9"/>
  <c r="I26" i="9"/>
  <c r="H26" i="9"/>
  <c r="G26" i="9"/>
  <c r="I25" i="9"/>
  <c r="H25" i="9"/>
  <c r="G25" i="9"/>
  <c r="I24" i="9"/>
  <c r="H24" i="9"/>
  <c r="G24" i="9"/>
  <c r="I23" i="9"/>
  <c r="H23" i="9"/>
  <c r="G23" i="9"/>
  <c r="I22" i="9"/>
  <c r="H22" i="9"/>
  <c r="G22" i="9"/>
  <c r="D104" i="4" l="1"/>
  <c r="D103" i="4"/>
  <c r="D102" i="4"/>
  <c r="D101" i="4"/>
  <c r="D100" i="4"/>
  <c r="D99" i="4"/>
  <c r="L116" i="4"/>
  <c r="K116" i="4"/>
  <c r="J116" i="4"/>
  <c r="I116" i="4"/>
  <c r="H116" i="4"/>
  <c r="G116" i="4"/>
  <c r="F116" i="4"/>
  <c r="L115" i="4"/>
  <c r="K115" i="4"/>
  <c r="J115" i="4"/>
  <c r="I115" i="4"/>
  <c r="H115" i="4"/>
  <c r="G115" i="4"/>
  <c r="F115" i="4"/>
  <c r="L114" i="4"/>
  <c r="K114" i="4"/>
  <c r="J114" i="4"/>
  <c r="I114" i="4"/>
  <c r="H114" i="4"/>
  <c r="G114" i="4"/>
  <c r="F114" i="4"/>
  <c r="L113" i="4"/>
  <c r="K113" i="4"/>
  <c r="J113" i="4"/>
  <c r="I113" i="4"/>
  <c r="H113" i="4"/>
  <c r="G113" i="4"/>
  <c r="F113" i="4"/>
  <c r="L112" i="4"/>
  <c r="K112" i="4"/>
  <c r="J112" i="4"/>
  <c r="I112" i="4"/>
  <c r="H112" i="4"/>
  <c r="G112" i="4"/>
  <c r="F112" i="4"/>
  <c r="C126" i="4"/>
  <c r="D126" i="4"/>
  <c r="E126" i="4" s="1"/>
  <c r="C127" i="4"/>
  <c r="D127" i="4"/>
  <c r="C130" i="4"/>
  <c r="D130" i="4"/>
  <c r="E127" i="4" l="1"/>
  <c r="C9" i="6"/>
  <c r="AG175" i="5"/>
  <c r="AG171" i="5"/>
  <c r="AG163" i="5"/>
  <c r="AG160" i="5"/>
  <c r="AG157" i="5"/>
  <c r="AG156" i="5"/>
  <c r="AG154" i="5"/>
  <c r="AG136" i="5"/>
  <c r="AG132" i="5"/>
  <c r="AG120" i="5"/>
  <c r="AG118" i="5"/>
  <c r="AG117" i="5"/>
  <c r="AG116" i="5"/>
  <c r="AG115" i="5"/>
  <c r="AG114" i="5"/>
  <c r="AG92" i="5"/>
  <c r="AG88" i="5"/>
  <c r="AG80" i="5"/>
  <c r="AG57" i="5"/>
  <c r="AG56" i="5"/>
  <c r="AG55" i="5"/>
  <c r="AG54" i="5"/>
  <c r="AG53" i="5"/>
  <c r="AG44" i="5"/>
  <c r="AG40" i="5"/>
  <c r="AG6" i="5"/>
  <c r="AG5" i="5"/>
  <c r="J218" i="5"/>
  <c r="J217" i="5"/>
  <c r="AG176" i="5" s="1"/>
  <c r="J216" i="5"/>
  <c r="AG167" i="5" s="1"/>
  <c r="J215" i="5"/>
  <c r="AG155" i="5" s="1"/>
  <c r="J214" i="5"/>
  <c r="AG111" i="5" s="1"/>
  <c r="J213" i="5"/>
  <c r="AG143" i="5" s="1"/>
  <c r="J212" i="5"/>
  <c r="AG71" i="5" s="1"/>
  <c r="J211" i="5"/>
  <c r="AG75" i="5" s="1"/>
  <c r="AG52" i="5" l="1"/>
  <c r="AG177" i="5"/>
  <c r="AG9" i="5"/>
  <c r="AG72" i="5"/>
  <c r="AG108" i="5"/>
  <c r="AG124" i="5"/>
  <c r="AG140" i="5"/>
  <c r="AG173" i="5"/>
  <c r="AG36" i="5"/>
  <c r="AG100" i="5"/>
  <c r="AG148" i="5"/>
  <c r="AG168" i="5"/>
  <c r="AG7" i="5"/>
  <c r="AG104" i="5"/>
  <c r="AG152" i="5"/>
  <c r="AG31" i="5"/>
  <c r="AG48" i="5"/>
  <c r="AG76" i="5"/>
  <c r="AG96" i="5"/>
  <c r="AG112" i="5"/>
  <c r="AG128" i="5"/>
  <c r="AG144" i="5"/>
  <c r="AG164" i="5"/>
  <c r="AG15" i="5"/>
  <c r="AG27" i="5"/>
  <c r="AG60" i="5"/>
  <c r="AG8" i="5"/>
  <c r="AG12" i="5"/>
  <c r="AG16" i="5"/>
  <c r="AG20" i="5"/>
  <c r="AG24" i="5"/>
  <c r="AG28" i="5"/>
  <c r="AG33" i="5"/>
  <c r="AG37" i="5"/>
  <c r="AG41" i="5"/>
  <c r="AG45" i="5"/>
  <c r="AG49" i="5"/>
  <c r="AG61" i="5"/>
  <c r="AG65" i="5"/>
  <c r="AG69" i="5"/>
  <c r="AG73" i="5"/>
  <c r="AG77" i="5"/>
  <c r="AG81" i="5"/>
  <c r="AG85" i="5"/>
  <c r="AG89" i="5"/>
  <c r="AG93" i="5"/>
  <c r="AG97" i="5"/>
  <c r="AG101" i="5"/>
  <c r="AG105" i="5"/>
  <c r="AG109" i="5"/>
  <c r="AG113" i="5"/>
  <c r="AG121" i="5"/>
  <c r="AG125" i="5"/>
  <c r="AG129" i="5"/>
  <c r="AG133" i="5"/>
  <c r="AG137" i="5"/>
  <c r="AG141" i="5"/>
  <c r="AG145" i="5"/>
  <c r="AG149" i="5"/>
  <c r="AG153" i="5"/>
  <c r="AG161" i="5"/>
  <c r="AG165" i="5"/>
  <c r="AG169" i="5"/>
  <c r="AG174" i="5"/>
  <c r="AG178" i="5"/>
  <c r="AG11" i="5"/>
  <c r="AG23" i="5"/>
  <c r="AG64" i="5"/>
  <c r="AG84" i="5"/>
  <c r="AG13" i="5"/>
  <c r="AG17" i="5"/>
  <c r="AG21" i="5"/>
  <c r="AG25" i="5"/>
  <c r="AG29" i="5"/>
  <c r="AG34" i="5"/>
  <c r="AG38" i="5"/>
  <c r="AG42" i="5"/>
  <c r="AG46" i="5"/>
  <c r="AG50" i="5"/>
  <c r="AG58" i="5"/>
  <c r="AG62" i="5"/>
  <c r="AG66" i="5"/>
  <c r="AG70" i="5"/>
  <c r="AG74" i="5"/>
  <c r="AG78" i="5"/>
  <c r="AG82" i="5"/>
  <c r="AG86" i="5"/>
  <c r="AG90" i="5"/>
  <c r="AG94" i="5"/>
  <c r="AG98" i="5"/>
  <c r="AG102" i="5"/>
  <c r="AG106" i="5"/>
  <c r="AG110" i="5"/>
  <c r="AG122" i="5"/>
  <c r="AG126" i="5"/>
  <c r="AG130" i="5"/>
  <c r="AG134" i="5"/>
  <c r="AG138" i="5"/>
  <c r="AG142" i="5"/>
  <c r="AG146" i="5"/>
  <c r="AG150" i="5"/>
  <c r="AG158" i="5"/>
  <c r="AG162" i="5"/>
  <c r="AG166" i="5"/>
  <c r="AG179" i="5"/>
  <c r="AG19" i="5"/>
  <c r="AG68" i="5"/>
  <c r="AG10" i="5"/>
  <c r="AG14" i="5"/>
  <c r="AG18" i="5"/>
  <c r="AG22" i="5"/>
  <c r="AG26" i="5"/>
  <c r="AG30" i="5"/>
  <c r="AG35" i="5"/>
  <c r="AG39" i="5"/>
  <c r="AG43" i="5"/>
  <c r="AG47" i="5"/>
  <c r="AG51" i="5"/>
  <c r="AG59" i="5"/>
  <c r="AG63" i="5"/>
  <c r="AG67" i="5"/>
  <c r="AG79" i="5"/>
  <c r="AG83" i="5"/>
  <c r="AG87" i="5"/>
  <c r="AG91" i="5"/>
  <c r="AG95" i="5"/>
  <c r="AG99" i="5"/>
  <c r="AG103" i="5"/>
  <c r="AG107" i="5"/>
  <c r="AG119" i="5"/>
  <c r="AG123" i="5"/>
  <c r="AG127" i="5"/>
  <c r="AG131" i="5"/>
  <c r="AG135" i="5"/>
  <c r="AG139" i="5"/>
  <c r="AG147" i="5"/>
  <c r="AG151" i="5"/>
  <c r="AG159" i="5"/>
  <c r="AG172" i="5"/>
  <c r="A124" i="6"/>
  <c r="G49" i="5" l="1"/>
  <c r="G48" i="5"/>
  <c r="G47" i="5"/>
  <c r="G46" i="5"/>
  <c r="G45" i="5"/>
  <c r="G44" i="5"/>
  <c r="G43" i="5"/>
  <c r="G42" i="5"/>
  <c r="G41" i="5"/>
  <c r="G40" i="5"/>
  <c r="G39" i="5"/>
  <c r="G14" i="5"/>
  <c r="G13" i="5"/>
  <c r="G12" i="5"/>
  <c r="G11" i="5"/>
  <c r="G10" i="5"/>
  <c r="G9" i="5"/>
  <c r="G8" i="5"/>
  <c r="G6" i="5" l="1"/>
  <c r="C7" i="6" l="1"/>
  <c r="H71" i="5" l="1"/>
  <c r="D37" i="1"/>
  <c r="C151" i="4"/>
  <c r="C150" i="4"/>
  <c r="C149" i="4"/>
  <c r="C148" i="4"/>
  <c r="C147" i="4"/>
  <c r="C136" i="6"/>
  <c r="M9" i="1"/>
  <c r="N60" i="1"/>
  <c r="N59" i="1"/>
  <c r="N58" i="1"/>
  <c r="N57" i="1"/>
  <c r="N56" i="1"/>
  <c r="N55" i="1"/>
  <c r="N54" i="1"/>
  <c r="N53" i="1"/>
  <c r="N52" i="1"/>
  <c r="N51" i="1"/>
  <c r="N50" i="1"/>
  <c r="N49" i="1"/>
  <c r="N48" i="1"/>
  <c r="N47" i="1"/>
  <c r="N46" i="1"/>
  <c r="N45" i="1"/>
  <c r="N44" i="1"/>
  <c r="N43" i="1"/>
  <c r="N42" i="1"/>
  <c r="N40" i="1"/>
  <c r="N39" i="1"/>
  <c r="N38" i="1"/>
  <c r="N36" i="1"/>
  <c r="N34" i="1"/>
  <c r="N33" i="1"/>
  <c r="N32" i="1"/>
  <c r="N31" i="1"/>
  <c r="N29" i="1"/>
  <c r="N28" i="1"/>
  <c r="N27" i="1"/>
  <c r="N26" i="1"/>
  <c r="N25" i="1"/>
  <c r="N24" i="1"/>
  <c r="N23" i="1"/>
  <c r="N22" i="1"/>
  <c r="N21" i="1"/>
  <c r="N20" i="1"/>
  <c r="N19" i="1"/>
  <c r="N18" i="1"/>
  <c r="G50" i="1" l="1"/>
  <c r="G19" i="1"/>
  <c r="G18" i="1"/>
  <c r="H143" i="5" l="1"/>
  <c r="H142" i="5"/>
  <c r="H141" i="5"/>
  <c r="H138" i="5"/>
  <c r="H78" i="5"/>
  <c r="H77" i="5"/>
  <c r="H76" i="5"/>
  <c r="H75" i="5"/>
  <c r="H74" i="5"/>
  <c r="H73" i="5"/>
  <c r="H72" i="5"/>
  <c r="H70" i="5"/>
  <c r="H69" i="5"/>
  <c r="H68" i="5"/>
  <c r="H67" i="5"/>
  <c r="H66" i="5"/>
  <c r="H65" i="5"/>
  <c r="H64" i="5"/>
  <c r="H63" i="5"/>
  <c r="H62" i="5"/>
  <c r="H61" i="5"/>
  <c r="H60" i="5"/>
  <c r="H59" i="5"/>
  <c r="H58" i="5"/>
  <c r="H41" i="5"/>
  <c r="H39" i="5"/>
  <c r="H38" i="5"/>
  <c r="H37" i="5"/>
  <c r="H36" i="5"/>
  <c r="H35" i="5"/>
  <c r="H34" i="5"/>
  <c r="J18" i="1"/>
  <c r="H33" i="5"/>
  <c r="H31" i="5"/>
  <c r="H30" i="5"/>
  <c r="H29" i="5"/>
  <c r="H28" i="5"/>
  <c r="H26" i="5"/>
  <c r="H25" i="5"/>
  <c r="H24" i="5"/>
  <c r="H23" i="5"/>
  <c r="H22" i="5"/>
  <c r="H21" i="5"/>
  <c r="H19" i="5"/>
  <c r="H18" i="5"/>
  <c r="H16" i="5"/>
  <c r="H15" i="5"/>
  <c r="H14" i="5"/>
  <c r="H13" i="5"/>
  <c r="H12" i="5"/>
  <c r="H11" i="5"/>
  <c r="H10" i="5"/>
  <c r="H9" i="5"/>
  <c r="H6" i="5"/>
  <c r="H8" i="5"/>
  <c r="H7" i="5"/>
  <c r="G60" i="1"/>
  <c r="G59" i="1"/>
  <c r="G57" i="1"/>
  <c r="G56" i="1"/>
  <c r="G55" i="1"/>
  <c r="G54" i="1"/>
  <c r="G53" i="1"/>
  <c r="G52" i="1"/>
  <c r="G51" i="1"/>
  <c r="G37" i="1"/>
  <c r="J36" i="1"/>
  <c r="G36" i="1"/>
  <c r="G70" i="5"/>
  <c r="AH70" i="5" s="1"/>
  <c r="G71" i="5"/>
  <c r="AH71" i="5" s="1"/>
  <c r="J38" i="1"/>
  <c r="G38" i="1"/>
  <c r="G58" i="1"/>
  <c r="J26" i="1"/>
  <c r="G26" i="1"/>
  <c r="G25" i="1"/>
  <c r="G24" i="1"/>
  <c r="G28" i="1"/>
  <c r="G22" i="1"/>
  <c r="J21" i="1"/>
  <c r="G21" i="1"/>
  <c r="J20" i="1"/>
  <c r="G20" i="1"/>
  <c r="G34" i="5"/>
  <c r="AH34" i="5" s="1"/>
  <c r="J34" i="1"/>
  <c r="J33" i="1"/>
  <c r="G33" i="1"/>
  <c r="B224" i="5" l="1"/>
  <c r="P70" i="5"/>
  <c r="P71" i="5"/>
  <c r="P34" i="5"/>
  <c r="M49" i="1"/>
  <c r="J49" i="1"/>
  <c r="G49" i="1"/>
  <c r="J48" i="1"/>
  <c r="G48" i="1"/>
  <c r="J47" i="1"/>
  <c r="G47" i="1"/>
  <c r="J46" i="1"/>
  <c r="G46" i="1"/>
  <c r="J45" i="1"/>
  <c r="G45" i="1"/>
  <c r="J44" i="1"/>
  <c r="G44" i="1"/>
  <c r="G43" i="1"/>
  <c r="G42" i="1"/>
  <c r="G32" i="1"/>
  <c r="G31" i="1"/>
  <c r="AH12" i="5"/>
  <c r="H171" i="5"/>
  <c r="H169" i="5"/>
  <c r="H168" i="5"/>
  <c r="H167" i="5"/>
  <c r="H166" i="5"/>
  <c r="H165" i="5"/>
  <c r="H164" i="5"/>
  <c r="H163" i="5"/>
  <c r="H162" i="5"/>
  <c r="H161" i="5"/>
  <c r="H160" i="5"/>
  <c r="H159" i="5"/>
  <c r="H158" i="5"/>
  <c r="H157" i="5"/>
  <c r="H156" i="5"/>
  <c r="H155" i="5"/>
  <c r="H154" i="5"/>
  <c r="H153" i="5"/>
  <c r="H152" i="5"/>
  <c r="H151" i="5"/>
  <c r="H150" i="5"/>
  <c r="H149" i="5"/>
  <c r="H148" i="5"/>
  <c r="H147" i="5"/>
  <c r="H146" i="5"/>
  <c r="H145" i="5"/>
  <c r="H144" i="5"/>
  <c r="H140" i="5"/>
  <c r="H139" i="5"/>
  <c r="H137" i="5"/>
  <c r="H136" i="5"/>
  <c r="H135" i="5"/>
  <c r="H134" i="5"/>
  <c r="H133" i="5"/>
  <c r="H132" i="5"/>
  <c r="H131" i="5"/>
  <c r="H130" i="5"/>
  <c r="H129" i="5"/>
  <c r="H128" i="5"/>
  <c r="H127" i="5"/>
  <c r="H126" i="5"/>
  <c r="H125" i="5"/>
  <c r="H124" i="5"/>
  <c r="H123" i="5"/>
  <c r="H122" i="5"/>
  <c r="H121" i="5"/>
  <c r="H120" i="5"/>
  <c r="H119" i="5"/>
  <c r="H118" i="5"/>
  <c r="H117" i="5"/>
  <c r="H116" i="5"/>
  <c r="H115" i="5"/>
  <c r="H114" i="5"/>
  <c r="H113" i="5"/>
  <c r="H112" i="5"/>
  <c r="H111" i="5"/>
  <c r="H110" i="5"/>
  <c r="H109" i="5"/>
  <c r="H108" i="5"/>
  <c r="H107" i="5"/>
  <c r="H106" i="5"/>
  <c r="H105" i="5"/>
  <c r="H104" i="5"/>
  <c r="H103" i="5"/>
  <c r="H102" i="5"/>
  <c r="H101" i="5"/>
  <c r="H100" i="5"/>
  <c r="H99" i="5"/>
  <c r="H98" i="5"/>
  <c r="H97" i="5"/>
  <c r="H96" i="5"/>
  <c r="H95" i="5"/>
  <c r="H94" i="5"/>
  <c r="H93" i="5"/>
  <c r="H92" i="5"/>
  <c r="H91" i="5"/>
  <c r="H90" i="5"/>
  <c r="H89" i="5"/>
  <c r="H88" i="5"/>
  <c r="H87" i="5"/>
  <c r="H86" i="5"/>
  <c r="H85" i="5"/>
  <c r="H84" i="5"/>
  <c r="H83" i="5"/>
  <c r="H82" i="5"/>
  <c r="H81" i="5"/>
  <c r="H80" i="5"/>
  <c r="H79" i="5"/>
  <c r="H57" i="5"/>
  <c r="H56" i="5"/>
  <c r="H55" i="5"/>
  <c r="H54" i="5"/>
  <c r="H53" i="5"/>
  <c r="H52" i="5"/>
  <c r="H51" i="5"/>
  <c r="H50" i="5"/>
  <c r="H49" i="5"/>
  <c r="H48" i="5"/>
  <c r="H47" i="5"/>
  <c r="H46" i="5"/>
  <c r="H45" i="5"/>
  <c r="H44" i="5"/>
  <c r="H43" i="5"/>
  <c r="H42" i="5"/>
  <c r="H40" i="5"/>
  <c r="G40" i="1"/>
  <c r="G39" i="1"/>
  <c r="G29" i="1"/>
  <c r="D53" i="1"/>
  <c r="G60" i="5"/>
  <c r="AH60" i="5" s="1"/>
  <c r="H179" i="5"/>
  <c r="H178" i="5"/>
  <c r="H177" i="5"/>
  <c r="H176" i="5"/>
  <c r="H175" i="5"/>
  <c r="H174" i="5"/>
  <c r="H173" i="5"/>
  <c r="H172" i="5"/>
  <c r="D65" i="1"/>
  <c r="D64" i="1"/>
  <c r="D60" i="1"/>
  <c r="D59" i="1"/>
  <c r="D58" i="1"/>
  <c r="G68" i="5"/>
  <c r="AH68" i="5" s="1"/>
  <c r="D57" i="1"/>
  <c r="D56" i="1"/>
  <c r="D55" i="1"/>
  <c r="D54" i="1"/>
  <c r="D52" i="1"/>
  <c r="D51" i="1"/>
  <c r="D50" i="1"/>
  <c r="D49" i="1"/>
  <c r="D48" i="1"/>
  <c r="D47" i="1"/>
  <c r="D46" i="1"/>
  <c r="D45" i="1"/>
  <c r="D44" i="1"/>
  <c r="D43" i="1"/>
  <c r="D42" i="1"/>
  <c r="G27" i="1"/>
  <c r="D27" i="1"/>
  <c r="D26" i="1"/>
  <c r="D25" i="1"/>
  <c r="P75" i="5"/>
  <c r="G75" i="5"/>
  <c r="D24" i="1"/>
  <c r="G30" i="5"/>
  <c r="AH30" i="5" s="1"/>
  <c r="P28" i="5"/>
  <c r="G28" i="5"/>
  <c r="G24" i="5"/>
  <c r="AH24" i="5" s="1"/>
  <c r="G16" i="5"/>
  <c r="AH16" i="5" s="1"/>
  <c r="G19" i="5"/>
  <c r="AH19" i="5" s="1"/>
  <c r="C10" i="6"/>
  <c r="J23" i="1"/>
  <c r="G23" i="1"/>
  <c r="G66" i="5"/>
  <c r="AH66" i="5" s="1"/>
  <c r="D40" i="1"/>
  <c r="D39" i="1"/>
  <c r="D38" i="1"/>
  <c r="D36" i="1"/>
  <c r="D33" i="1"/>
  <c r="D32" i="1"/>
  <c r="D31" i="1"/>
  <c r="D29" i="1"/>
  <c r="D28" i="1"/>
  <c r="D23" i="1"/>
  <c r="D22" i="1"/>
  <c r="D21" i="1"/>
  <c r="D20" i="1"/>
  <c r="D19" i="1"/>
  <c r="D18" i="1"/>
  <c r="G37" i="5"/>
  <c r="AH37" i="5" s="1"/>
  <c r="G25" i="5"/>
  <c r="AH25" i="5" s="1"/>
  <c r="AH10" i="5"/>
  <c r="AH9" i="5"/>
  <c r="AH14" i="5"/>
  <c r="G20" i="5"/>
  <c r="AH20" i="5" s="1"/>
  <c r="AH41" i="5"/>
  <c r="P12" i="5" l="1"/>
  <c r="P60" i="5"/>
  <c r="P68" i="5"/>
  <c r="P19" i="5"/>
  <c r="P30" i="5"/>
  <c r="P24" i="5"/>
  <c r="P25" i="5"/>
  <c r="P16" i="5"/>
  <c r="P66" i="5"/>
  <c r="P37" i="5"/>
  <c r="P9" i="5"/>
  <c r="P10" i="5"/>
  <c r="P6" i="5"/>
  <c r="P14" i="5"/>
  <c r="P20" i="5"/>
  <c r="P41" i="5"/>
  <c r="G78" i="5" l="1"/>
  <c r="AH78" i="5" s="1"/>
  <c r="G58" i="5"/>
  <c r="AH58" i="5" s="1"/>
  <c r="G59" i="5"/>
  <c r="AH59" i="5" s="1"/>
  <c r="G72" i="5"/>
  <c r="AH72" i="5" s="1"/>
  <c r="G77" i="5"/>
  <c r="AH77" i="5" s="1"/>
  <c r="P78" i="5" l="1"/>
  <c r="P58" i="5"/>
  <c r="P59" i="5"/>
  <c r="P72" i="5"/>
  <c r="P77" i="5"/>
  <c r="V374" i="9" l="1"/>
  <c r="AD75" i="5" s="1"/>
  <c r="U374" i="9"/>
  <c r="AC75" i="5" s="1"/>
  <c r="T374" i="9"/>
  <c r="AB75" i="5" s="1"/>
  <c r="S374" i="9"/>
  <c r="AA75" i="5" s="1"/>
  <c r="R374" i="9"/>
  <c r="Z75" i="5" s="1"/>
  <c r="Q374" i="9"/>
  <c r="Y75" i="5" s="1"/>
  <c r="AF75" i="5" l="1"/>
  <c r="AE75" i="5"/>
  <c r="N374" i="9"/>
  <c r="T75" i="5" s="1"/>
  <c r="K75" i="5" s="1"/>
  <c r="K374" i="9"/>
  <c r="Q75" i="5" s="1"/>
  <c r="O374" i="9"/>
  <c r="U75" i="5" s="1"/>
  <c r="L75" i="5" s="1"/>
  <c r="L374" i="9"/>
  <c r="R75" i="5" s="1"/>
  <c r="I75" i="5" s="1"/>
  <c r="P374" i="9"/>
  <c r="V75" i="5" s="1"/>
  <c r="M75" i="5" s="1"/>
  <c r="M374" i="9"/>
  <c r="S75" i="5" s="1"/>
  <c r="J75" i="5" s="1"/>
  <c r="H5" i="5"/>
  <c r="X75" i="5" l="1"/>
  <c r="O75" i="5" s="1"/>
  <c r="W75" i="5"/>
  <c r="N75" i="5" s="1"/>
  <c r="L184" i="5" l="1"/>
  <c r="K3" i="5"/>
  <c r="I184" i="5" s="1"/>
  <c r="H185" i="5"/>
  <c r="E150" i="4"/>
  <c r="E149" i="4"/>
  <c r="E148" i="4"/>
  <c r="E147" i="4"/>
  <c r="G35" i="5"/>
  <c r="I218" i="5" l="1"/>
  <c r="H218" i="5"/>
  <c r="T582" i="9" l="1"/>
  <c r="P201" i="5"/>
  <c r="G179" i="5"/>
  <c r="G178" i="5"/>
  <c r="G177" i="5"/>
  <c r="G176" i="5"/>
  <c r="G175" i="5"/>
  <c r="G174" i="5"/>
  <c r="G173" i="5"/>
  <c r="G172" i="5"/>
  <c r="G171" i="5"/>
  <c r="G169" i="5"/>
  <c r="G168" i="5"/>
  <c r="G167" i="5"/>
  <c r="G166" i="5"/>
  <c r="G165" i="5"/>
  <c r="G164" i="5"/>
  <c r="G163" i="5"/>
  <c r="G162" i="5"/>
  <c r="G161" i="5"/>
  <c r="G160" i="5"/>
  <c r="G159" i="5"/>
  <c r="G158" i="5"/>
  <c r="G157" i="5"/>
  <c r="G156" i="5"/>
  <c r="G154" i="5"/>
  <c r="G153" i="5"/>
  <c r="G152" i="5"/>
  <c r="G151" i="5"/>
  <c r="G150" i="5"/>
  <c r="G149" i="5"/>
  <c r="G148" i="5"/>
  <c r="G147" i="5"/>
  <c r="G146" i="5"/>
  <c r="G145" i="5"/>
  <c r="G144" i="5"/>
  <c r="G143" i="5"/>
  <c r="G142" i="5"/>
  <c r="G141" i="5"/>
  <c r="G5" i="5"/>
  <c r="G140" i="5"/>
  <c r="G139" i="5"/>
  <c r="G138" i="5"/>
  <c r="G137" i="5"/>
  <c r="G136" i="5"/>
  <c r="G135" i="5"/>
  <c r="G155" i="5"/>
  <c r="G134" i="5"/>
  <c r="G133" i="5"/>
  <c r="G132" i="5"/>
  <c r="G131" i="5"/>
  <c r="G130" i="5"/>
  <c r="G129" i="5"/>
  <c r="G128" i="5"/>
  <c r="G127" i="5"/>
  <c r="G126" i="5"/>
  <c r="G125" i="5"/>
  <c r="G124" i="5"/>
  <c r="G123" i="5"/>
  <c r="G122" i="5"/>
  <c r="G121" i="5"/>
  <c r="G120" i="5"/>
  <c r="G119" i="5"/>
  <c r="G118" i="5"/>
  <c r="G117" i="5"/>
  <c r="G116" i="5"/>
  <c r="G115" i="5"/>
  <c r="G114" i="5"/>
  <c r="G113" i="5"/>
  <c r="G112" i="5"/>
  <c r="G111" i="5"/>
  <c r="G110" i="5"/>
  <c r="G109" i="5"/>
  <c r="G108" i="5"/>
  <c r="G107" i="5"/>
  <c r="G106" i="5"/>
  <c r="G105" i="5"/>
  <c r="G104" i="5"/>
  <c r="G103" i="5"/>
  <c r="G102" i="5"/>
  <c r="G101" i="5"/>
  <c r="G100" i="5"/>
  <c r="G99" i="5"/>
  <c r="G98" i="5"/>
  <c r="G97" i="5"/>
  <c r="G96" i="5"/>
  <c r="G95" i="5"/>
  <c r="G94" i="5"/>
  <c r="G93" i="5"/>
  <c r="G92" i="5"/>
  <c r="G91" i="5"/>
  <c r="G90" i="5"/>
  <c r="G89" i="5"/>
  <c r="G88" i="5"/>
  <c r="G87" i="5"/>
  <c r="G86" i="5"/>
  <c r="G85" i="5"/>
  <c r="G84" i="5"/>
  <c r="G83" i="5"/>
  <c r="G82" i="5"/>
  <c r="G81" i="5"/>
  <c r="G80" i="5"/>
  <c r="G79" i="5"/>
  <c r="G74" i="5"/>
  <c r="G7" i="5"/>
  <c r="G76" i="5"/>
  <c r="G73" i="5"/>
  <c r="G69" i="5"/>
  <c r="G67" i="5"/>
  <c r="G65" i="5"/>
  <c r="G64" i="5"/>
  <c r="G62" i="5"/>
  <c r="G61" i="5"/>
  <c r="G63" i="5"/>
  <c r="G57" i="5"/>
  <c r="G56" i="5"/>
  <c r="G55" i="5"/>
  <c r="G54" i="5"/>
  <c r="G53" i="5"/>
  <c r="G52" i="5"/>
  <c r="G51" i="5"/>
  <c r="G50" i="5"/>
  <c r="G29" i="5"/>
  <c r="G38" i="5"/>
  <c r="G36" i="5"/>
  <c r="G33" i="5"/>
  <c r="AH33" i="5" s="1"/>
  <c r="G31" i="5"/>
  <c r="G26" i="5"/>
  <c r="G23" i="5"/>
  <c r="G21" i="5"/>
  <c r="G18" i="5"/>
  <c r="G17" i="5"/>
  <c r="G15" i="5"/>
  <c r="G27" i="5"/>
  <c r="G22" i="5"/>
  <c r="P185" i="5"/>
  <c r="P198" i="5" s="1"/>
  <c r="O185" i="5"/>
  <c r="O198" i="5" s="1"/>
  <c r="N185" i="5"/>
  <c r="N198" i="5" s="1"/>
  <c r="M185" i="5"/>
  <c r="M198" i="5" s="1"/>
  <c r="L185" i="5"/>
  <c r="L198" i="5" s="1"/>
  <c r="K185" i="5"/>
  <c r="K198" i="5" s="1"/>
  <c r="J185" i="5"/>
  <c r="J198" i="5" s="1"/>
  <c r="I185" i="5"/>
  <c r="I198" i="5" s="1"/>
  <c r="A27" i="6" l="1"/>
  <c r="C31" i="6" l="1"/>
  <c r="C223" i="5" l="1"/>
  <c r="C228" i="5"/>
  <c r="C227" i="5"/>
  <c r="C226" i="5"/>
  <c r="C225" i="5"/>
  <c r="C224" i="5"/>
  <c r="E228" i="5"/>
  <c r="E227" i="5"/>
  <c r="E226" i="5"/>
  <c r="E225" i="5"/>
  <c r="E224" i="5"/>
  <c r="E223" i="5"/>
  <c r="C8" i="6" l="1"/>
  <c r="A112" i="6"/>
  <c r="A100" i="6"/>
  <c r="A88" i="6"/>
  <c r="A76" i="6"/>
  <c r="A64" i="6"/>
  <c r="A52" i="6"/>
  <c r="V388" i="9" l="1"/>
  <c r="U388" i="9"/>
  <c r="T388" i="9"/>
  <c r="S388" i="9"/>
  <c r="R388" i="9"/>
  <c r="Q388" i="9"/>
  <c r="V387" i="9"/>
  <c r="U387" i="9"/>
  <c r="T387" i="9"/>
  <c r="S387" i="9"/>
  <c r="R387" i="9"/>
  <c r="Q387" i="9"/>
  <c r="V386" i="9"/>
  <c r="U386" i="9"/>
  <c r="T386" i="9"/>
  <c r="S386" i="9"/>
  <c r="R386" i="9"/>
  <c r="Q386" i="9"/>
  <c r="V385" i="9"/>
  <c r="U385" i="9"/>
  <c r="T385" i="9"/>
  <c r="S385" i="9"/>
  <c r="R385" i="9"/>
  <c r="Q385" i="9"/>
  <c r="V384" i="9"/>
  <c r="U384" i="9"/>
  <c r="T384" i="9"/>
  <c r="S384" i="9"/>
  <c r="R384" i="9"/>
  <c r="Q384" i="9"/>
  <c r="V383" i="9"/>
  <c r="U383" i="9"/>
  <c r="T383" i="9"/>
  <c r="S383" i="9"/>
  <c r="R383" i="9"/>
  <c r="Q383" i="9"/>
  <c r="V382" i="9"/>
  <c r="U382" i="9"/>
  <c r="T382" i="9"/>
  <c r="S382" i="9"/>
  <c r="R382" i="9"/>
  <c r="Q382" i="9"/>
  <c r="V381" i="9"/>
  <c r="U381" i="9"/>
  <c r="T381" i="9"/>
  <c r="S381" i="9"/>
  <c r="R381" i="9"/>
  <c r="Q381" i="9"/>
  <c r="N384" i="9" l="1"/>
  <c r="N388" i="9"/>
  <c r="K388" i="9"/>
  <c r="N381" i="9"/>
  <c r="O382" i="9"/>
  <c r="O383" i="9"/>
  <c r="N385" i="9"/>
  <c r="K386" i="9"/>
  <c r="O387" i="9"/>
  <c r="O388" i="9"/>
  <c r="N383" i="9"/>
  <c r="N387" i="9"/>
  <c r="K384" i="9"/>
  <c r="N382" i="9"/>
  <c r="N386" i="9"/>
  <c r="O384" i="9"/>
  <c r="O381" i="9"/>
  <c r="K382" i="9"/>
  <c r="K383" i="9"/>
  <c r="K385" i="9"/>
  <c r="L381" i="9"/>
  <c r="P381" i="9"/>
  <c r="L382" i="9"/>
  <c r="P382" i="9"/>
  <c r="L383" i="9"/>
  <c r="P383" i="9"/>
  <c r="L384" i="9"/>
  <c r="P384" i="9"/>
  <c r="L385" i="9"/>
  <c r="P385" i="9"/>
  <c r="L386" i="9"/>
  <c r="P386" i="9"/>
  <c r="L387" i="9"/>
  <c r="P387" i="9"/>
  <c r="L388" i="9"/>
  <c r="P388" i="9"/>
  <c r="O385" i="9"/>
  <c r="O386" i="9"/>
  <c r="K387" i="9"/>
  <c r="M381" i="9"/>
  <c r="M382" i="9"/>
  <c r="M383" i="9"/>
  <c r="M384" i="9"/>
  <c r="M385" i="9"/>
  <c r="M386" i="9"/>
  <c r="M387" i="9"/>
  <c r="M388" i="9"/>
  <c r="K381" i="9"/>
  <c r="H96" i="1"/>
  <c r="H95" i="1"/>
  <c r="H94" i="1"/>
  <c r="H92" i="1"/>
  <c r="D158" i="4"/>
  <c r="D157" i="4"/>
  <c r="D156" i="4"/>
  <c r="D155" i="4"/>
  <c r="D154" i="4"/>
  <c r="AH155" i="5"/>
  <c r="P155" i="5" s="1"/>
  <c r="AH134" i="5"/>
  <c r="AH133" i="5"/>
  <c r="AH131" i="5"/>
  <c r="P131" i="5" s="1"/>
  <c r="AH13" i="5"/>
  <c r="P13" i="5" l="1"/>
  <c r="P134" i="5"/>
  <c r="P133" i="5"/>
  <c r="Q843" i="9"/>
  <c r="Q842" i="9"/>
  <c r="Q841" i="9"/>
  <c r="Q840" i="9"/>
  <c r="Y101" i="5" s="1"/>
  <c r="AE101" i="5" s="1"/>
  <c r="Q839" i="9"/>
  <c r="Q838" i="9"/>
  <c r="Y43" i="5" s="1"/>
  <c r="AE43" i="5" s="1"/>
  <c r="Q837" i="9"/>
  <c r="Y42" i="5" s="1"/>
  <c r="AE42" i="5" s="1"/>
  <c r="Q836" i="9"/>
  <c r="Q835" i="9"/>
  <c r="Q834" i="9"/>
  <c r="Y46" i="5" s="1"/>
  <c r="AE46" i="5" s="1"/>
  <c r="Q833" i="9"/>
  <c r="Q832" i="9"/>
  <c r="Q831" i="9"/>
  <c r="Y95" i="5" s="1"/>
  <c r="AE95" i="5" s="1"/>
  <c r="Q830" i="9"/>
  <c r="Q829" i="9"/>
  <c r="Q828" i="9"/>
  <c r="Q827" i="9"/>
  <c r="Q826" i="9"/>
  <c r="Q825" i="9"/>
  <c r="Q824" i="9"/>
  <c r="Q823" i="9"/>
  <c r="Y106" i="5" s="1"/>
  <c r="AE106" i="5" s="1"/>
  <c r="Q822" i="9"/>
  <c r="Q821" i="9"/>
  <c r="Y108" i="5" s="1"/>
  <c r="AE108" i="5" s="1"/>
  <c r="Q820" i="9"/>
  <c r="Q819" i="9"/>
  <c r="Q818" i="9"/>
  <c r="Q817" i="9"/>
  <c r="Q816" i="9"/>
  <c r="Y48" i="5" s="1"/>
  <c r="AE48" i="5" s="1"/>
  <c r="Q815" i="9"/>
  <c r="Q814" i="9"/>
  <c r="Y145" i="5" s="1"/>
  <c r="AE145" i="5" s="1"/>
  <c r="Q813" i="9"/>
  <c r="Q812" i="9"/>
  <c r="Q811" i="9"/>
  <c r="Q810" i="9"/>
  <c r="Q809" i="9"/>
  <c r="Y144" i="5" s="1"/>
  <c r="AE144" i="5" s="1"/>
  <c r="Q808" i="9"/>
  <c r="Q807" i="9"/>
  <c r="Q806" i="9"/>
  <c r="Y162" i="5" s="1"/>
  <c r="AE162" i="5" s="1"/>
  <c r="Q805" i="9"/>
  <c r="Q804" i="9"/>
  <c r="Y167" i="5" s="1"/>
  <c r="AE167" i="5" s="1"/>
  <c r="Q803" i="9"/>
  <c r="Y147" i="5" s="1"/>
  <c r="AE147" i="5" s="1"/>
  <c r="Q802" i="9"/>
  <c r="Q801" i="9"/>
  <c r="Q800" i="9"/>
  <c r="Y51" i="5" s="1"/>
  <c r="AE51" i="5" s="1"/>
  <c r="Q799" i="9"/>
  <c r="Q798" i="9"/>
  <c r="Q797" i="9"/>
  <c r="Y100" i="5" s="1"/>
  <c r="AE100" i="5" s="1"/>
  <c r="Q796" i="9"/>
  <c r="Q795" i="9"/>
  <c r="Q794" i="9"/>
  <c r="Q793" i="9"/>
  <c r="Y161" i="5" s="1"/>
  <c r="AE161" i="5" s="1"/>
  <c r="Q792" i="9"/>
  <c r="Q791" i="9"/>
  <c r="Q790" i="9"/>
  <c r="Q789" i="9"/>
  <c r="Q788" i="9"/>
  <c r="Q787" i="9"/>
  <c r="Q786" i="9"/>
  <c r="Q785" i="9"/>
  <c r="Q784" i="9"/>
  <c r="Q783" i="9"/>
  <c r="Q782" i="9"/>
  <c r="Q781" i="9"/>
  <c r="Q780" i="9"/>
  <c r="Y85" i="5" s="1"/>
  <c r="AE85" i="5" s="1"/>
  <c r="Q779" i="9"/>
  <c r="Q778" i="9"/>
  <c r="Y152" i="5" s="1"/>
  <c r="AE152" i="5" s="1"/>
  <c r="Q777" i="9"/>
  <c r="Q776" i="9"/>
  <c r="Q775" i="9"/>
  <c r="Q774" i="9"/>
  <c r="Q773" i="9"/>
  <c r="Q772" i="9"/>
  <c r="Q771" i="9"/>
  <c r="Q770" i="9"/>
  <c r="Q769" i="9"/>
  <c r="Q768" i="9"/>
  <c r="Q767" i="9"/>
  <c r="Q766" i="9"/>
  <c r="Q765" i="9"/>
  <c r="Q764" i="9"/>
  <c r="Q763" i="9"/>
  <c r="Q762" i="9"/>
  <c r="Q761" i="9"/>
  <c r="Q760" i="9"/>
  <c r="Q759" i="9"/>
  <c r="Q758" i="9"/>
  <c r="Q757" i="9"/>
  <c r="Q756" i="9"/>
  <c r="Q755" i="9"/>
  <c r="Q754" i="9"/>
  <c r="Q753" i="9"/>
  <c r="Q752" i="9"/>
  <c r="Q751" i="9"/>
  <c r="Q750" i="9"/>
  <c r="Q749" i="9"/>
  <c r="Q748" i="9"/>
  <c r="Q747" i="9"/>
  <c r="Q746" i="9"/>
  <c r="Q745" i="9"/>
  <c r="Y179" i="5" s="1"/>
  <c r="AE179" i="5" s="1"/>
  <c r="Q744" i="9"/>
  <c r="Q743" i="9"/>
  <c r="Q742" i="9"/>
  <c r="Q741" i="9"/>
  <c r="Q740" i="9"/>
  <c r="Q739" i="9"/>
  <c r="Q738" i="9"/>
  <c r="Q737" i="9"/>
  <c r="Y123" i="5" s="1"/>
  <c r="AE123" i="5" s="1"/>
  <c r="Q736" i="9"/>
  <c r="Q735" i="9"/>
  <c r="Q734" i="9"/>
  <c r="Q733" i="9"/>
  <c r="Q732" i="9"/>
  <c r="Q731" i="9"/>
  <c r="Y125" i="5" s="1"/>
  <c r="AE125" i="5" s="1"/>
  <c r="Q730" i="9"/>
  <c r="Q729" i="9"/>
  <c r="Q728" i="9"/>
  <c r="Y148" i="5" s="1"/>
  <c r="AE148" i="5" s="1"/>
  <c r="Q727" i="9"/>
  <c r="Y102" i="5" s="1"/>
  <c r="AE102" i="5" s="1"/>
  <c r="Q726" i="9"/>
  <c r="Q725" i="9"/>
  <c r="Q724" i="9"/>
  <c r="Q723" i="9"/>
  <c r="Q722" i="9"/>
  <c r="Q721" i="9"/>
  <c r="Q720" i="9"/>
  <c r="Y103" i="5" s="1"/>
  <c r="AE103" i="5" s="1"/>
  <c r="Q719" i="9"/>
  <c r="Q718" i="9"/>
  <c r="Y166" i="5" s="1"/>
  <c r="AE166" i="5" s="1"/>
  <c r="Q717" i="9"/>
  <c r="Y86" i="5" s="1"/>
  <c r="AE86" i="5" s="1"/>
  <c r="Q716" i="9"/>
  <c r="Q715" i="9"/>
  <c r="Q714" i="9"/>
  <c r="Q713" i="9"/>
  <c r="Y165" i="5" s="1"/>
  <c r="AE165" i="5" s="1"/>
  <c r="Q712" i="9"/>
  <c r="Q711" i="9"/>
  <c r="Y93" i="5" s="1"/>
  <c r="AE93" i="5" s="1"/>
  <c r="Q710" i="9"/>
  <c r="Q709" i="9"/>
  <c r="Q708" i="9"/>
  <c r="Q707" i="9"/>
  <c r="Q706" i="9"/>
  <c r="Q705" i="9"/>
  <c r="Q704" i="9"/>
  <c r="Q703" i="9"/>
  <c r="Q702" i="9"/>
  <c r="Y150" i="5" s="1"/>
  <c r="AE150" i="5" s="1"/>
  <c r="Q701" i="9"/>
  <c r="Q700" i="9"/>
  <c r="Q699" i="9"/>
  <c r="Q698" i="9"/>
  <c r="Y20" i="5" s="1"/>
  <c r="Q697" i="9"/>
  <c r="Q696" i="9"/>
  <c r="Q695" i="9"/>
  <c r="Y155" i="5" s="1"/>
  <c r="Q694" i="9"/>
  <c r="Y64" i="5" s="1"/>
  <c r="AE64" i="5" s="1"/>
  <c r="Q693" i="9"/>
  <c r="Q692" i="9"/>
  <c r="Q691" i="9"/>
  <c r="Q685" i="9"/>
  <c r="Q684" i="9"/>
  <c r="Q683" i="9"/>
  <c r="Q682" i="9"/>
  <c r="Q681" i="9"/>
  <c r="Q680" i="9"/>
  <c r="Q679" i="9"/>
  <c r="Q678" i="9"/>
  <c r="Q677" i="9"/>
  <c r="Q676" i="9"/>
  <c r="Q674" i="9"/>
  <c r="Y133" i="5" s="1"/>
  <c r="Q673" i="9"/>
  <c r="Q672" i="9"/>
  <c r="Q671" i="9"/>
  <c r="Q670" i="9"/>
  <c r="Q669" i="9"/>
  <c r="Q668" i="9"/>
  <c r="Q667" i="9"/>
  <c r="Q666" i="9"/>
  <c r="Q665" i="9"/>
  <c r="Q664" i="9"/>
  <c r="Q663" i="9"/>
  <c r="Q662" i="9"/>
  <c r="Q661" i="9"/>
  <c r="Q660" i="9"/>
  <c r="Q659" i="9"/>
  <c r="Q658" i="9"/>
  <c r="Q657" i="9"/>
  <c r="Q656" i="9"/>
  <c r="Q655" i="9"/>
  <c r="Q654" i="9"/>
  <c r="Q653" i="9"/>
  <c r="Y113" i="5" s="1"/>
  <c r="AE113" i="5" s="1"/>
  <c r="Q652" i="9"/>
  <c r="Q651" i="9"/>
  <c r="Q650" i="9"/>
  <c r="Q649" i="9"/>
  <c r="Q648" i="9"/>
  <c r="Q647" i="9"/>
  <c r="Q646" i="9"/>
  <c r="Q645" i="9"/>
  <c r="Q644" i="9"/>
  <c r="Q643" i="9"/>
  <c r="Q642" i="9"/>
  <c r="Q641" i="9"/>
  <c r="Q640" i="9"/>
  <c r="Y90" i="5" s="1"/>
  <c r="AE90" i="5" s="1"/>
  <c r="Q639" i="9"/>
  <c r="Q638" i="9"/>
  <c r="Q637" i="9"/>
  <c r="Q636" i="9"/>
  <c r="Q635" i="9"/>
  <c r="Q634" i="9"/>
  <c r="Q633" i="9"/>
  <c r="Q632" i="9"/>
  <c r="Q631" i="9"/>
  <c r="Y138" i="5" s="1"/>
  <c r="AE138" i="5" s="1"/>
  <c r="Q630" i="9"/>
  <c r="Q629" i="9"/>
  <c r="Q628" i="9"/>
  <c r="Q627" i="9"/>
  <c r="Q626" i="9"/>
  <c r="Y32" i="5" s="1"/>
  <c r="Q625" i="9"/>
  <c r="Q624" i="9"/>
  <c r="Q623" i="9"/>
  <c r="Q622" i="9"/>
  <c r="Q621" i="9"/>
  <c r="Q620" i="9"/>
  <c r="Q619" i="9"/>
  <c r="Q618" i="9"/>
  <c r="Q617" i="9"/>
  <c r="Q616" i="9"/>
  <c r="Q615" i="9"/>
  <c r="Q614" i="9"/>
  <c r="Q613" i="9"/>
  <c r="Q612" i="9"/>
  <c r="Q611" i="9"/>
  <c r="Q610" i="9"/>
  <c r="Q609" i="9"/>
  <c r="Q608" i="9"/>
  <c r="Q607" i="9"/>
  <c r="Q606" i="9"/>
  <c r="Q605" i="9"/>
  <c r="Q604" i="9"/>
  <c r="Q603" i="9"/>
  <c r="Q602" i="9"/>
  <c r="Y169" i="5" s="1"/>
  <c r="AE169" i="5" s="1"/>
  <c r="Q601" i="9"/>
  <c r="Q600" i="9"/>
  <c r="Q599" i="9"/>
  <c r="Q598" i="9"/>
  <c r="Q597" i="9"/>
  <c r="Q596" i="9"/>
  <c r="Q595" i="9"/>
  <c r="Q594" i="9"/>
  <c r="Q593" i="9"/>
  <c r="Y153" i="5" s="1"/>
  <c r="AE153" i="5" s="1"/>
  <c r="Q592" i="9"/>
  <c r="Q591" i="9"/>
  <c r="Q590" i="9"/>
  <c r="Q589" i="9"/>
  <c r="Q588" i="9"/>
  <c r="Q587" i="9"/>
  <c r="Q586" i="9"/>
  <c r="Q585" i="9"/>
  <c r="Y80" i="5" s="1"/>
  <c r="AE80" i="5" s="1"/>
  <c r="Q584" i="9"/>
  <c r="Q583" i="9"/>
  <c r="Q582" i="9"/>
  <c r="Q581" i="9"/>
  <c r="Q580" i="9"/>
  <c r="Q579" i="9"/>
  <c r="Q578" i="9"/>
  <c r="Q577" i="9"/>
  <c r="Q576" i="9"/>
  <c r="Q575" i="9"/>
  <c r="Q574" i="9"/>
  <c r="Y35" i="5" s="1"/>
  <c r="Q573" i="9"/>
  <c r="Q572" i="9"/>
  <c r="Q571" i="9"/>
  <c r="Q570" i="9"/>
  <c r="Q569" i="9"/>
  <c r="Q568" i="9"/>
  <c r="Y131" i="5" s="1"/>
  <c r="Q567" i="9"/>
  <c r="Q566" i="9"/>
  <c r="Q565" i="9"/>
  <c r="Q564" i="9"/>
  <c r="Q563" i="9"/>
  <c r="Q562" i="9"/>
  <c r="Q561" i="9"/>
  <c r="Q560" i="9"/>
  <c r="Y38" i="5" s="1"/>
  <c r="AE38" i="5" s="1"/>
  <c r="Q559" i="9"/>
  <c r="Q558" i="9"/>
  <c r="Q557" i="9"/>
  <c r="Q556" i="9"/>
  <c r="Q555" i="9"/>
  <c r="Q554" i="9"/>
  <c r="Q553" i="9"/>
  <c r="Q552" i="9"/>
  <c r="Q551" i="9"/>
  <c r="Q550" i="9"/>
  <c r="Q549" i="9"/>
  <c r="Q548" i="9"/>
  <c r="Q547" i="9"/>
  <c r="Q546" i="9"/>
  <c r="Q545" i="9"/>
  <c r="Q544" i="9"/>
  <c r="Q543" i="9"/>
  <c r="Q542" i="9"/>
  <c r="Y124" i="5" s="1"/>
  <c r="AE124" i="5" s="1"/>
  <c r="Q541" i="9"/>
  <c r="Q540" i="9"/>
  <c r="Q539" i="9"/>
  <c r="Q538" i="9"/>
  <c r="Q537" i="9"/>
  <c r="Q536" i="9"/>
  <c r="Q535" i="9"/>
  <c r="Q534" i="9"/>
  <c r="Q533" i="9"/>
  <c r="Q532" i="9"/>
  <c r="Q531" i="9"/>
  <c r="Q530" i="9"/>
  <c r="Q529" i="9"/>
  <c r="Q528" i="9"/>
  <c r="Y68" i="5" s="1"/>
  <c r="Q527" i="9"/>
  <c r="Y168" i="5" s="1"/>
  <c r="AE168" i="5" s="1"/>
  <c r="Q526" i="9"/>
  <c r="Q525" i="9"/>
  <c r="Q524" i="9"/>
  <c r="Q523" i="9"/>
  <c r="Q522" i="9"/>
  <c r="Q521" i="9"/>
  <c r="Q520" i="9"/>
  <c r="Q519" i="9"/>
  <c r="Q518" i="9"/>
  <c r="Q517" i="9"/>
  <c r="Y16" i="5" s="1"/>
  <c r="Q516" i="9"/>
  <c r="Q515" i="9"/>
  <c r="Q514" i="9"/>
  <c r="Y134" i="5" s="1"/>
  <c r="Q509" i="9"/>
  <c r="Q508" i="9"/>
  <c r="Q507" i="9"/>
  <c r="Y7" i="5" s="1"/>
  <c r="Q506" i="9"/>
  <c r="Y8" i="5" s="1"/>
  <c r="Q505" i="9"/>
  <c r="Q504" i="9"/>
  <c r="Q503" i="9"/>
  <c r="Q502" i="9"/>
  <c r="Y21" i="5" s="1"/>
  <c r="AE21" i="5" s="1"/>
  <c r="Q501" i="9"/>
  <c r="Q500" i="9"/>
  <c r="Q499" i="9"/>
  <c r="Q498" i="9"/>
  <c r="Q497" i="9"/>
  <c r="Q496" i="9"/>
  <c r="Q495" i="9"/>
  <c r="Q494" i="9"/>
  <c r="Q493" i="9"/>
  <c r="Q492" i="9"/>
  <c r="Q491" i="9"/>
  <c r="Q490" i="9"/>
  <c r="Q489" i="9"/>
  <c r="Q488" i="9"/>
  <c r="Y141" i="5" s="1"/>
  <c r="AE141" i="5" s="1"/>
  <c r="Q487" i="9"/>
  <c r="Q486" i="9"/>
  <c r="Q485" i="9"/>
  <c r="Q484" i="9"/>
  <c r="Q483" i="9"/>
  <c r="Y78" i="5" s="1"/>
  <c r="Q482" i="9"/>
  <c r="Q481" i="9"/>
  <c r="Q480" i="9"/>
  <c r="Q479" i="9"/>
  <c r="Q478" i="9"/>
  <c r="Q477" i="9"/>
  <c r="Q476" i="9"/>
  <c r="Q475" i="9"/>
  <c r="Q474" i="9"/>
  <c r="Q473" i="9"/>
  <c r="Q472" i="9"/>
  <c r="Q471" i="9"/>
  <c r="Q470" i="9"/>
  <c r="Q469" i="9"/>
  <c r="Q468" i="9"/>
  <c r="Q467" i="9"/>
  <c r="Q466" i="9"/>
  <c r="Q465" i="9"/>
  <c r="Q464" i="9"/>
  <c r="Y70" i="5" s="1"/>
  <c r="Q463" i="9"/>
  <c r="Y66" i="5" s="1"/>
  <c r="Q462" i="9"/>
  <c r="Q461" i="9"/>
  <c r="Q460" i="9"/>
  <c r="Q459" i="9"/>
  <c r="Q458" i="9"/>
  <c r="Q457" i="9"/>
  <c r="Q456" i="9"/>
  <c r="Q455" i="9"/>
  <c r="Q454" i="9"/>
  <c r="Q453" i="9"/>
  <c r="Q452" i="9"/>
  <c r="Q451" i="9"/>
  <c r="Q450" i="9"/>
  <c r="Q449" i="9"/>
  <c r="Q448" i="9"/>
  <c r="Q447" i="9"/>
  <c r="Q446" i="9"/>
  <c r="Q445" i="9"/>
  <c r="Q444" i="9"/>
  <c r="Q443" i="9"/>
  <c r="Q442" i="9"/>
  <c r="Q441" i="9"/>
  <c r="Q440" i="9"/>
  <c r="Q439" i="9"/>
  <c r="Q438" i="9"/>
  <c r="Y142" i="5" s="1"/>
  <c r="AE142" i="5" s="1"/>
  <c r="Q437" i="9"/>
  <c r="Q436" i="9"/>
  <c r="Q435" i="9"/>
  <c r="Q434" i="9"/>
  <c r="Q433" i="9"/>
  <c r="Q432" i="9"/>
  <c r="Q431" i="9"/>
  <c r="Q430" i="9"/>
  <c r="Q429" i="9"/>
  <c r="Q428" i="9"/>
  <c r="Q427" i="9"/>
  <c r="Q426" i="9"/>
  <c r="Q425" i="9"/>
  <c r="Q424" i="9"/>
  <c r="Q423" i="9"/>
  <c r="Q422" i="9"/>
  <c r="Q421" i="9"/>
  <c r="Q420" i="9"/>
  <c r="Q419" i="9"/>
  <c r="Q418" i="9"/>
  <c r="Q417" i="9"/>
  <c r="Q416" i="9"/>
  <c r="Q415" i="9"/>
  <c r="Q414" i="9"/>
  <c r="Q413" i="9"/>
  <c r="Q412" i="9"/>
  <c r="Y136" i="5" s="1"/>
  <c r="AE136" i="5" s="1"/>
  <c r="Q411" i="9"/>
  <c r="Q410" i="9"/>
  <c r="Q409" i="9"/>
  <c r="Q408" i="9"/>
  <c r="Q407" i="9"/>
  <c r="Q406" i="9"/>
  <c r="Q405" i="9"/>
  <c r="Q404" i="9"/>
  <c r="Q403" i="9"/>
  <c r="Q402" i="9"/>
  <c r="Q401" i="9"/>
  <c r="Q400" i="9"/>
  <c r="Q399" i="9"/>
  <c r="Q398" i="9"/>
  <c r="Q397" i="9"/>
  <c r="Q396" i="9"/>
  <c r="Q395" i="9"/>
  <c r="Q394" i="9"/>
  <c r="Q393" i="9"/>
  <c r="Q392" i="9"/>
  <c r="Q391" i="9"/>
  <c r="Q390" i="9"/>
  <c r="Q389" i="9"/>
  <c r="Q380" i="9"/>
  <c r="Q379" i="9"/>
  <c r="Q378" i="9"/>
  <c r="Q377" i="9"/>
  <c r="Q376" i="9"/>
  <c r="Q375" i="9"/>
  <c r="Q373" i="9"/>
  <c r="Q372" i="9"/>
  <c r="Q371" i="9"/>
  <c r="Q370" i="9"/>
  <c r="Q369" i="9"/>
  <c r="Q368" i="9"/>
  <c r="Q367" i="9"/>
  <c r="Q366" i="9"/>
  <c r="Q365" i="9"/>
  <c r="Q364" i="9"/>
  <c r="Q363" i="9"/>
  <c r="Y25" i="5" s="1"/>
  <c r="Q362" i="9"/>
  <c r="Q361" i="9"/>
  <c r="Q360" i="9"/>
  <c r="Q359" i="9"/>
  <c r="Q358" i="9"/>
  <c r="Q357" i="9"/>
  <c r="Q356" i="9"/>
  <c r="Y143" i="5" s="1"/>
  <c r="AE143" i="5" s="1"/>
  <c r="Q355" i="9"/>
  <c r="Q354" i="9"/>
  <c r="Q353" i="9"/>
  <c r="Q352" i="9"/>
  <c r="Q351" i="9"/>
  <c r="Q350" i="9"/>
  <c r="Q349" i="9"/>
  <c r="Q348" i="9"/>
  <c r="Y72" i="5" s="1"/>
  <c r="Q347" i="9"/>
  <c r="Q346" i="9"/>
  <c r="Q345" i="9"/>
  <c r="Y109" i="5" s="1"/>
  <c r="AE109" i="5" s="1"/>
  <c r="Q344" i="9"/>
  <c r="Y71" i="5" s="1"/>
  <c r="Q343" i="9"/>
  <c r="Q342" i="9"/>
  <c r="Q341" i="9"/>
  <c r="Q340" i="9"/>
  <c r="Q339" i="9"/>
  <c r="Q338" i="9"/>
  <c r="Q337" i="9"/>
  <c r="Q336" i="9"/>
  <c r="Q335" i="9"/>
  <c r="Q334" i="9"/>
  <c r="Q333" i="9"/>
  <c r="Q332" i="9"/>
  <c r="Q331" i="9"/>
  <c r="Q330" i="9"/>
  <c r="Q329" i="9"/>
  <c r="Q328" i="9"/>
  <c r="Q327" i="9"/>
  <c r="Q326" i="9"/>
  <c r="Q325" i="9"/>
  <c r="Q324" i="9"/>
  <c r="Q323" i="9"/>
  <c r="Q322" i="9"/>
  <c r="Q321" i="9"/>
  <c r="Q320" i="9"/>
  <c r="Q319" i="9"/>
  <c r="Q318" i="9"/>
  <c r="Q317" i="9"/>
  <c r="Q316" i="9"/>
  <c r="Q315" i="9"/>
  <c r="Q314" i="9"/>
  <c r="Q313" i="9"/>
  <c r="Q312" i="9"/>
  <c r="Y10" i="5" s="1"/>
  <c r="Q311" i="9"/>
  <c r="Q310" i="9"/>
  <c r="Q309" i="9"/>
  <c r="Q308" i="9"/>
  <c r="Q307" i="9"/>
  <c r="Q306" i="9"/>
  <c r="Q305" i="9"/>
  <c r="Q304" i="9"/>
  <c r="Q303" i="9"/>
  <c r="Q302" i="9"/>
  <c r="Q301" i="9"/>
  <c r="Q300" i="9"/>
  <c r="Q299" i="9"/>
  <c r="Q298" i="9"/>
  <c r="Q297" i="9"/>
  <c r="Q296" i="9"/>
  <c r="Q295" i="9"/>
  <c r="Y69" i="5" s="1"/>
  <c r="AE69" i="5" s="1"/>
  <c r="Q294" i="9"/>
  <c r="Q293" i="9"/>
  <c r="Q292" i="9"/>
  <c r="Q291" i="9"/>
  <c r="Q290" i="9"/>
  <c r="Q289" i="9"/>
  <c r="Q288" i="9"/>
  <c r="Q287" i="9"/>
  <c r="Q286" i="9"/>
  <c r="Q285" i="9"/>
  <c r="Q284" i="9"/>
  <c r="Q283" i="9"/>
  <c r="Q282" i="9"/>
  <c r="Q281" i="9"/>
  <c r="Q280" i="9"/>
  <c r="Q279" i="9"/>
  <c r="Q278" i="9"/>
  <c r="Q277" i="9"/>
  <c r="Q276" i="9"/>
  <c r="Y9" i="5" s="1"/>
  <c r="Q275" i="9"/>
  <c r="Q274" i="9"/>
  <c r="Q273" i="9"/>
  <c r="Q272" i="9"/>
  <c r="Q271" i="9"/>
  <c r="Q270" i="9"/>
  <c r="Q269" i="9"/>
  <c r="Q268" i="9"/>
  <c r="Q267" i="9"/>
  <c r="Q266" i="9"/>
  <c r="Q265" i="9"/>
  <c r="Q264" i="9"/>
  <c r="Q263" i="9"/>
  <c r="Q262" i="9"/>
  <c r="Q261" i="9"/>
  <c r="Q260" i="9"/>
  <c r="Q259" i="9"/>
  <c r="Q258" i="9"/>
  <c r="Q257" i="9"/>
  <c r="Q256" i="9"/>
  <c r="Q255" i="9"/>
  <c r="Q254" i="9"/>
  <c r="Q253" i="9"/>
  <c r="Q252" i="9"/>
  <c r="Q251" i="9"/>
  <c r="Q250" i="9"/>
  <c r="Q249" i="9"/>
  <c r="Q248" i="9"/>
  <c r="Q247" i="9"/>
  <c r="Q246" i="9"/>
  <c r="Q245" i="9"/>
  <c r="Q244" i="9"/>
  <c r="Q243" i="9"/>
  <c r="Q242" i="9"/>
  <c r="Q241" i="9"/>
  <c r="Q240" i="9"/>
  <c r="Q239" i="9"/>
  <c r="Q238" i="9"/>
  <c r="Q237" i="9"/>
  <c r="Q236" i="9"/>
  <c r="Y98" i="5" s="1"/>
  <c r="AE98" i="5" s="1"/>
  <c r="Q235" i="9"/>
  <c r="Q234" i="9"/>
  <c r="Q233" i="9"/>
  <c r="Q232" i="9"/>
  <c r="Q231" i="9"/>
  <c r="Q230" i="9"/>
  <c r="Q229" i="9"/>
  <c r="Y19" i="5" s="1"/>
  <c r="Q228" i="9"/>
  <c r="Q227" i="9"/>
  <c r="Q226" i="9"/>
  <c r="Q225" i="9"/>
  <c r="Q224" i="9"/>
  <c r="Q223" i="9"/>
  <c r="Q222" i="9"/>
  <c r="Q221" i="9"/>
  <c r="Q220" i="9"/>
  <c r="Q219" i="9"/>
  <c r="Q218" i="9"/>
  <c r="Q217" i="9"/>
  <c r="Q216" i="9"/>
  <c r="Q215" i="9"/>
  <c r="Q214" i="9"/>
  <c r="Q213" i="9"/>
  <c r="Q212" i="9"/>
  <c r="Y15" i="5" s="1"/>
  <c r="AE15" i="5" s="1"/>
  <c r="Q211" i="9"/>
  <c r="Q210" i="9"/>
  <c r="Q209" i="9"/>
  <c r="Q208" i="9"/>
  <c r="Q207" i="9"/>
  <c r="Q206" i="9"/>
  <c r="Q205" i="9"/>
  <c r="Q204" i="9"/>
  <c r="Q203" i="9"/>
  <c r="Q202" i="9"/>
  <c r="Y24" i="5" s="1"/>
  <c r="Q201" i="9"/>
  <c r="Y14" i="5" s="1"/>
  <c r="Q200" i="9"/>
  <c r="Q199" i="9"/>
  <c r="Q198" i="9"/>
  <c r="Q197" i="9"/>
  <c r="Q196" i="9"/>
  <c r="Q195" i="9"/>
  <c r="Q194" i="9"/>
  <c r="Q193" i="9"/>
  <c r="Q192" i="9"/>
  <c r="Q191" i="9"/>
  <c r="Q190" i="9"/>
  <c r="Q189" i="9"/>
  <c r="Q188" i="9"/>
  <c r="Q187" i="9"/>
  <c r="Q186" i="9"/>
  <c r="Q185" i="9"/>
  <c r="Q184" i="9"/>
  <c r="Q183" i="9"/>
  <c r="Q182" i="9"/>
  <c r="Q181" i="9"/>
  <c r="Q180" i="9"/>
  <c r="Q179" i="9"/>
  <c r="Q178" i="9"/>
  <c r="Q177" i="9"/>
  <c r="Q176" i="9"/>
  <c r="Q175" i="9"/>
  <c r="Q174" i="9"/>
  <c r="Q173" i="9"/>
  <c r="Q172" i="9"/>
  <c r="Q171" i="9"/>
  <c r="Q170" i="9"/>
  <c r="Q169" i="9"/>
  <c r="Q168" i="9"/>
  <c r="Y12" i="5" s="1"/>
  <c r="Q167" i="9"/>
  <c r="Q166" i="9"/>
  <c r="Q165" i="9"/>
  <c r="Q164" i="9"/>
  <c r="Y61" i="5" s="1"/>
  <c r="AE61" i="5" s="1"/>
  <c r="Q163" i="9"/>
  <c r="Q162" i="9"/>
  <c r="Q161" i="9"/>
  <c r="Q160" i="9"/>
  <c r="Q159" i="9"/>
  <c r="Q158" i="9"/>
  <c r="Q157" i="9"/>
  <c r="Q156" i="9"/>
  <c r="Q155" i="9"/>
  <c r="Q154" i="9"/>
  <c r="Q153" i="9"/>
  <c r="Q152" i="9"/>
  <c r="Q151" i="9"/>
  <c r="Q150" i="9"/>
  <c r="Q149" i="9"/>
  <c r="Q148" i="9"/>
  <c r="Q147" i="9"/>
  <c r="Q146" i="9"/>
  <c r="Q145" i="9"/>
  <c r="Q144" i="9"/>
  <c r="Q143" i="9"/>
  <c r="Q142" i="9"/>
  <c r="Q141" i="9"/>
  <c r="Q140" i="9"/>
  <c r="Q139" i="9"/>
  <c r="Q138" i="9"/>
  <c r="Q137" i="9"/>
  <c r="Q136" i="9"/>
  <c r="Q135" i="9"/>
  <c r="Q134" i="9"/>
  <c r="Q132" i="9"/>
  <c r="Q131" i="9"/>
  <c r="Q130" i="9"/>
  <c r="Q129" i="9"/>
  <c r="Q128" i="9"/>
  <c r="Q127" i="9"/>
  <c r="Q126" i="9"/>
  <c r="Q125" i="9"/>
  <c r="Q124" i="9"/>
  <c r="Q123" i="9"/>
  <c r="Q122" i="9"/>
  <c r="Q121" i="9"/>
  <c r="Q120" i="9"/>
  <c r="Q119" i="9"/>
  <c r="Q118" i="9"/>
  <c r="Q117" i="9"/>
  <c r="Q116" i="9"/>
  <c r="Q115" i="9"/>
  <c r="Y54" i="5" s="1"/>
  <c r="AE54" i="5" s="1"/>
  <c r="Q114" i="9"/>
  <c r="Q113" i="9"/>
  <c r="Q112" i="9"/>
  <c r="Q111" i="9"/>
  <c r="Y53" i="5" s="1"/>
  <c r="AE53" i="5" s="1"/>
  <c r="Q110" i="9"/>
  <c r="Q109" i="9"/>
  <c r="Q108" i="9"/>
  <c r="Q107" i="9"/>
  <c r="Q106" i="9"/>
  <c r="Q105" i="9"/>
  <c r="Q104" i="9"/>
  <c r="Q103" i="9"/>
  <c r="Q102" i="9"/>
  <c r="Q101" i="9"/>
  <c r="Q100" i="9"/>
  <c r="Q99" i="9"/>
  <c r="Q98" i="9"/>
  <c r="Q97" i="9"/>
  <c r="Q96" i="9"/>
  <c r="Q95" i="9"/>
  <c r="Q94" i="9"/>
  <c r="Q93" i="9"/>
  <c r="Q92" i="9"/>
  <c r="Q91" i="9"/>
  <c r="Q90" i="9"/>
  <c r="Q89" i="9"/>
  <c r="Q88" i="9"/>
  <c r="Q87" i="9"/>
  <c r="Q86" i="9"/>
  <c r="Y115" i="5" s="1"/>
  <c r="AE115" i="5" s="1"/>
  <c r="Q85" i="9"/>
  <c r="Y116" i="5" s="1"/>
  <c r="AE116" i="5" s="1"/>
  <c r="Q84" i="9"/>
  <c r="Q83" i="9"/>
  <c r="Q82" i="9"/>
  <c r="Q81" i="9"/>
  <c r="Q80" i="9"/>
  <c r="Y57" i="5" s="1"/>
  <c r="AE57" i="5" s="1"/>
  <c r="Q79" i="9"/>
  <c r="Q78" i="9"/>
  <c r="Q77" i="9"/>
  <c r="Q76" i="9"/>
  <c r="Q75" i="9"/>
  <c r="Q74" i="9"/>
  <c r="Q73" i="9"/>
  <c r="Q72" i="9"/>
  <c r="Y22" i="5" s="1"/>
  <c r="AE22" i="5" s="1"/>
  <c r="Q71" i="9"/>
  <c r="Q70" i="9"/>
  <c r="Q69" i="9"/>
  <c r="Q68" i="9"/>
  <c r="Q67" i="9"/>
  <c r="Q66" i="9"/>
  <c r="Q65" i="9"/>
  <c r="Q64" i="9"/>
  <c r="Q63" i="9"/>
  <c r="Q62" i="9"/>
  <c r="Y157" i="5" s="1"/>
  <c r="AE157" i="5" s="1"/>
  <c r="Q61" i="9"/>
  <c r="Q60" i="9"/>
  <c r="Q59" i="9"/>
  <c r="Q58" i="9"/>
  <c r="Q57" i="9"/>
  <c r="Q56" i="9"/>
  <c r="Q55" i="9"/>
  <c r="Q54" i="9"/>
  <c r="Q53" i="9"/>
  <c r="Q52" i="9"/>
  <c r="Y49" i="5" s="1"/>
  <c r="AE49" i="5" s="1"/>
  <c r="Q51" i="9"/>
  <c r="Q50" i="9"/>
  <c r="Q49" i="9"/>
  <c r="Y164" i="5" s="1"/>
  <c r="AE164" i="5" s="1"/>
  <c r="Q48" i="9"/>
  <c r="Q47" i="9"/>
  <c r="Q46" i="9"/>
  <c r="Q45" i="9"/>
  <c r="Q44" i="9"/>
  <c r="Q43" i="9"/>
  <c r="Q42" i="9"/>
  <c r="Q41" i="9"/>
  <c r="Q40" i="9"/>
  <c r="Q39" i="9"/>
  <c r="Q38" i="9"/>
  <c r="Q37" i="9"/>
  <c r="Y140" i="5" s="1"/>
  <c r="AE140" i="5" s="1"/>
  <c r="Q36" i="9"/>
  <c r="Q35" i="9"/>
  <c r="Q34" i="9"/>
  <c r="Q33" i="9"/>
  <c r="Q32" i="9"/>
  <c r="Q31" i="9"/>
  <c r="Q30" i="9"/>
  <c r="Q29" i="9"/>
  <c r="Y139" i="5" s="1"/>
  <c r="AE139" i="5" s="1"/>
  <c r="Q28" i="9"/>
  <c r="Q27" i="9"/>
  <c r="Q26" i="9"/>
  <c r="Q25" i="9"/>
  <c r="Y88" i="5" s="1"/>
  <c r="AE88" i="5" s="1"/>
  <c r="Q24" i="9"/>
  <c r="Q23" i="9"/>
  <c r="Q22" i="9"/>
  <c r="V843" i="9"/>
  <c r="U843" i="9"/>
  <c r="T843" i="9"/>
  <c r="S843" i="9"/>
  <c r="R843" i="9"/>
  <c r="V842" i="9"/>
  <c r="U842" i="9"/>
  <c r="T842" i="9"/>
  <c r="S842" i="9"/>
  <c r="R842" i="9"/>
  <c r="V841" i="9"/>
  <c r="U841" i="9"/>
  <c r="T841" i="9"/>
  <c r="S841" i="9"/>
  <c r="R841" i="9"/>
  <c r="V840" i="9"/>
  <c r="AD101" i="5" s="1"/>
  <c r="U840" i="9"/>
  <c r="AC101" i="5" s="1"/>
  <c r="T840" i="9"/>
  <c r="AB101" i="5" s="1"/>
  <c r="S840" i="9"/>
  <c r="AA101" i="5" s="1"/>
  <c r="R840" i="9"/>
  <c r="Z101" i="5" s="1"/>
  <c r="V839" i="9"/>
  <c r="U839" i="9"/>
  <c r="T839" i="9"/>
  <c r="S839" i="9"/>
  <c r="R839" i="9"/>
  <c r="V838" i="9"/>
  <c r="AD43" i="5" s="1"/>
  <c r="U838" i="9"/>
  <c r="AC43" i="5" s="1"/>
  <c r="T838" i="9"/>
  <c r="AB43" i="5" s="1"/>
  <c r="S838" i="9"/>
  <c r="AA43" i="5" s="1"/>
  <c r="R838" i="9"/>
  <c r="Z43" i="5" s="1"/>
  <c r="V837" i="9"/>
  <c r="AD42" i="5" s="1"/>
  <c r="U837" i="9"/>
  <c r="AC42" i="5" s="1"/>
  <c r="T837" i="9"/>
  <c r="AB42" i="5" s="1"/>
  <c r="S837" i="9"/>
  <c r="AA42" i="5" s="1"/>
  <c r="R837" i="9"/>
  <c r="Z42" i="5" s="1"/>
  <c r="V836" i="9"/>
  <c r="U836" i="9"/>
  <c r="T836" i="9"/>
  <c r="S836" i="9"/>
  <c r="R836" i="9"/>
  <c r="V835" i="9"/>
  <c r="U835" i="9"/>
  <c r="T835" i="9"/>
  <c r="S835" i="9"/>
  <c r="R835" i="9"/>
  <c r="V834" i="9"/>
  <c r="AD46" i="5" s="1"/>
  <c r="U834" i="9"/>
  <c r="AC46" i="5" s="1"/>
  <c r="T834" i="9"/>
  <c r="AB46" i="5" s="1"/>
  <c r="S834" i="9"/>
  <c r="AA46" i="5" s="1"/>
  <c r="R834" i="9"/>
  <c r="Z46" i="5" s="1"/>
  <c r="V833" i="9"/>
  <c r="U833" i="9"/>
  <c r="T833" i="9"/>
  <c r="S833" i="9"/>
  <c r="R833" i="9"/>
  <c r="V832" i="9"/>
  <c r="U832" i="9"/>
  <c r="T832" i="9"/>
  <c r="S832" i="9"/>
  <c r="R832" i="9"/>
  <c r="V831" i="9"/>
  <c r="AD95" i="5" s="1"/>
  <c r="U831" i="9"/>
  <c r="AC95" i="5" s="1"/>
  <c r="T831" i="9"/>
  <c r="AB95" i="5" s="1"/>
  <c r="S831" i="9"/>
  <c r="AA95" i="5" s="1"/>
  <c r="R831" i="9"/>
  <c r="Z95" i="5" s="1"/>
  <c r="V830" i="9"/>
  <c r="U830" i="9"/>
  <c r="T830" i="9"/>
  <c r="S830" i="9"/>
  <c r="R830" i="9"/>
  <c r="V829" i="9"/>
  <c r="U829" i="9"/>
  <c r="T829" i="9"/>
  <c r="S829" i="9"/>
  <c r="R829" i="9"/>
  <c r="V828" i="9"/>
  <c r="U828" i="9"/>
  <c r="T828" i="9"/>
  <c r="S828" i="9"/>
  <c r="R828" i="9"/>
  <c r="V827" i="9"/>
  <c r="U827" i="9"/>
  <c r="T827" i="9"/>
  <c r="S827" i="9"/>
  <c r="R827" i="9"/>
  <c r="V826" i="9"/>
  <c r="U826" i="9"/>
  <c r="T826" i="9"/>
  <c r="S826" i="9"/>
  <c r="R826" i="9"/>
  <c r="V825" i="9"/>
  <c r="U825" i="9"/>
  <c r="T825" i="9"/>
  <c r="S825" i="9"/>
  <c r="R825" i="9"/>
  <c r="V824" i="9"/>
  <c r="U824" i="9"/>
  <c r="T824" i="9"/>
  <c r="S824" i="9"/>
  <c r="R824" i="9"/>
  <c r="V823" i="9"/>
  <c r="AD106" i="5" s="1"/>
  <c r="U823" i="9"/>
  <c r="AC106" i="5" s="1"/>
  <c r="T823" i="9"/>
  <c r="AB106" i="5" s="1"/>
  <c r="S823" i="9"/>
  <c r="AA106" i="5" s="1"/>
  <c r="R823" i="9"/>
  <c r="Z106" i="5" s="1"/>
  <c r="V822" i="9"/>
  <c r="U822" i="9"/>
  <c r="T822" i="9"/>
  <c r="S822" i="9"/>
  <c r="R822" i="9"/>
  <c r="V821" i="9"/>
  <c r="AD108" i="5" s="1"/>
  <c r="U821" i="9"/>
  <c r="AC108" i="5" s="1"/>
  <c r="T821" i="9"/>
  <c r="AB108" i="5" s="1"/>
  <c r="S821" i="9"/>
  <c r="AA108" i="5" s="1"/>
  <c r="R821" i="9"/>
  <c r="Z108" i="5" s="1"/>
  <c r="V820" i="9"/>
  <c r="U820" i="9"/>
  <c r="T820" i="9"/>
  <c r="S820" i="9"/>
  <c r="R820" i="9"/>
  <c r="V819" i="9"/>
  <c r="U819" i="9"/>
  <c r="T819" i="9"/>
  <c r="S819" i="9"/>
  <c r="R819" i="9"/>
  <c r="V818" i="9"/>
  <c r="U818" i="9"/>
  <c r="T818" i="9"/>
  <c r="S818" i="9"/>
  <c r="R818" i="9"/>
  <c r="V817" i="9"/>
  <c r="U817" i="9"/>
  <c r="T817" i="9"/>
  <c r="S817" i="9"/>
  <c r="R817" i="9"/>
  <c r="V816" i="9"/>
  <c r="AD48" i="5" s="1"/>
  <c r="U816" i="9"/>
  <c r="AC48" i="5" s="1"/>
  <c r="T816" i="9"/>
  <c r="AB48" i="5" s="1"/>
  <c r="S816" i="9"/>
  <c r="AA48" i="5" s="1"/>
  <c r="R816" i="9"/>
  <c r="Z48" i="5" s="1"/>
  <c r="V815" i="9"/>
  <c r="U815" i="9"/>
  <c r="T815" i="9"/>
  <c r="S815" i="9"/>
  <c r="R815" i="9"/>
  <c r="V814" i="9"/>
  <c r="AD145" i="5" s="1"/>
  <c r="U814" i="9"/>
  <c r="AC145" i="5" s="1"/>
  <c r="T814" i="9"/>
  <c r="AB145" i="5" s="1"/>
  <c r="S814" i="9"/>
  <c r="AA145" i="5" s="1"/>
  <c r="R814" i="9"/>
  <c r="Z145" i="5" s="1"/>
  <c r="V813" i="9"/>
  <c r="U813" i="9"/>
  <c r="T813" i="9"/>
  <c r="S813" i="9"/>
  <c r="R813" i="9"/>
  <c r="V812" i="9"/>
  <c r="U812" i="9"/>
  <c r="T812" i="9"/>
  <c r="S812" i="9"/>
  <c r="R812" i="9"/>
  <c r="V811" i="9"/>
  <c r="U811" i="9"/>
  <c r="T811" i="9"/>
  <c r="S811" i="9"/>
  <c r="R811" i="9"/>
  <c r="V810" i="9"/>
  <c r="U810" i="9"/>
  <c r="T810" i="9"/>
  <c r="S810" i="9"/>
  <c r="R810" i="9"/>
  <c r="V809" i="9"/>
  <c r="AD144" i="5" s="1"/>
  <c r="U809" i="9"/>
  <c r="AC144" i="5" s="1"/>
  <c r="T809" i="9"/>
  <c r="AB144" i="5" s="1"/>
  <c r="S809" i="9"/>
  <c r="AA144" i="5" s="1"/>
  <c r="R809" i="9"/>
  <c r="Z144" i="5" s="1"/>
  <c r="V808" i="9"/>
  <c r="U808" i="9"/>
  <c r="T808" i="9"/>
  <c r="S808" i="9"/>
  <c r="R808" i="9"/>
  <c r="V807" i="9"/>
  <c r="U807" i="9"/>
  <c r="T807" i="9"/>
  <c r="S807" i="9"/>
  <c r="R807" i="9"/>
  <c r="V806" i="9"/>
  <c r="AD162" i="5" s="1"/>
  <c r="U806" i="9"/>
  <c r="AC162" i="5" s="1"/>
  <c r="T806" i="9"/>
  <c r="AB162" i="5" s="1"/>
  <c r="S806" i="9"/>
  <c r="AA162" i="5" s="1"/>
  <c r="R806" i="9"/>
  <c r="Z162" i="5" s="1"/>
  <c r="V805" i="9"/>
  <c r="U805" i="9"/>
  <c r="T805" i="9"/>
  <c r="S805" i="9"/>
  <c r="R805" i="9"/>
  <c r="V804" i="9"/>
  <c r="AD167" i="5" s="1"/>
  <c r="U804" i="9"/>
  <c r="AC167" i="5" s="1"/>
  <c r="T804" i="9"/>
  <c r="AB167" i="5" s="1"/>
  <c r="S804" i="9"/>
  <c r="AA167" i="5" s="1"/>
  <c r="R804" i="9"/>
  <c r="Z167" i="5" s="1"/>
  <c r="V803" i="9"/>
  <c r="AD147" i="5" s="1"/>
  <c r="U803" i="9"/>
  <c r="AC147" i="5" s="1"/>
  <c r="T803" i="9"/>
  <c r="AB147" i="5" s="1"/>
  <c r="S803" i="9"/>
  <c r="AA147" i="5" s="1"/>
  <c r="R803" i="9"/>
  <c r="Z147" i="5" s="1"/>
  <c r="V802" i="9"/>
  <c r="U802" i="9"/>
  <c r="T802" i="9"/>
  <c r="S802" i="9"/>
  <c r="R802" i="9"/>
  <c r="V801" i="9"/>
  <c r="U801" i="9"/>
  <c r="T801" i="9"/>
  <c r="S801" i="9"/>
  <c r="R801" i="9"/>
  <c r="V800" i="9"/>
  <c r="AD51" i="5" s="1"/>
  <c r="U800" i="9"/>
  <c r="AC51" i="5" s="1"/>
  <c r="T800" i="9"/>
  <c r="AB51" i="5" s="1"/>
  <c r="S800" i="9"/>
  <c r="AA51" i="5" s="1"/>
  <c r="R800" i="9"/>
  <c r="Z51" i="5" s="1"/>
  <c r="V799" i="9"/>
  <c r="U799" i="9"/>
  <c r="T799" i="9"/>
  <c r="S799" i="9"/>
  <c r="R799" i="9"/>
  <c r="V798" i="9"/>
  <c r="U798" i="9"/>
  <c r="T798" i="9"/>
  <c r="S798" i="9"/>
  <c r="R798" i="9"/>
  <c r="V797" i="9"/>
  <c r="AD100" i="5" s="1"/>
  <c r="U797" i="9"/>
  <c r="AC100" i="5" s="1"/>
  <c r="T797" i="9"/>
  <c r="AB100" i="5" s="1"/>
  <c r="S797" i="9"/>
  <c r="AA100" i="5" s="1"/>
  <c r="R797" i="9"/>
  <c r="Z100" i="5" s="1"/>
  <c r="V796" i="9"/>
  <c r="U796" i="9"/>
  <c r="T796" i="9"/>
  <c r="S796" i="9"/>
  <c r="R796" i="9"/>
  <c r="V795" i="9"/>
  <c r="U795" i="9"/>
  <c r="T795" i="9"/>
  <c r="S795" i="9"/>
  <c r="R795" i="9"/>
  <c r="V794" i="9"/>
  <c r="U794" i="9"/>
  <c r="T794" i="9"/>
  <c r="S794" i="9"/>
  <c r="R794" i="9"/>
  <c r="V793" i="9"/>
  <c r="AD161" i="5" s="1"/>
  <c r="U793" i="9"/>
  <c r="AC161" i="5" s="1"/>
  <c r="T793" i="9"/>
  <c r="AB161" i="5" s="1"/>
  <c r="S793" i="9"/>
  <c r="AA161" i="5" s="1"/>
  <c r="R793" i="9"/>
  <c r="Z161" i="5" s="1"/>
  <c r="V792" i="9"/>
  <c r="U792" i="9"/>
  <c r="I151" i="4" s="1"/>
  <c r="T792" i="9"/>
  <c r="S792" i="9"/>
  <c r="R792" i="9"/>
  <c r="F151" i="4" s="1"/>
  <c r="V791" i="9"/>
  <c r="U791" i="9"/>
  <c r="T791" i="9"/>
  <c r="S791" i="9"/>
  <c r="R791" i="9"/>
  <c r="V790" i="9"/>
  <c r="U790" i="9"/>
  <c r="T790" i="9"/>
  <c r="S790" i="9"/>
  <c r="R790" i="9"/>
  <c r="V789" i="9"/>
  <c r="U789" i="9"/>
  <c r="T789" i="9"/>
  <c r="S789" i="9"/>
  <c r="R789" i="9"/>
  <c r="V788" i="9"/>
  <c r="U788" i="9"/>
  <c r="T788" i="9"/>
  <c r="S788" i="9"/>
  <c r="R788" i="9"/>
  <c r="V787" i="9"/>
  <c r="U787" i="9"/>
  <c r="T787" i="9"/>
  <c r="S787" i="9"/>
  <c r="R787" i="9"/>
  <c r="V786" i="9"/>
  <c r="U786" i="9"/>
  <c r="T786" i="9"/>
  <c r="S786" i="9"/>
  <c r="R786" i="9"/>
  <c r="V785" i="9"/>
  <c r="U785" i="9"/>
  <c r="T785" i="9"/>
  <c r="S785" i="9"/>
  <c r="R785" i="9"/>
  <c r="V784" i="9"/>
  <c r="U784" i="9"/>
  <c r="T784" i="9"/>
  <c r="S784" i="9"/>
  <c r="R784" i="9"/>
  <c r="V783" i="9"/>
  <c r="U783" i="9"/>
  <c r="T783" i="9"/>
  <c r="S783" i="9"/>
  <c r="R783" i="9"/>
  <c r="V782" i="9"/>
  <c r="U782" i="9"/>
  <c r="T782" i="9"/>
  <c r="S782" i="9"/>
  <c r="R782" i="9"/>
  <c r="V781" i="9"/>
  <c r="U781" i="9"/>
  <c r="T781" i="9"/>
  <c r="S781" i="9"/>
  <c r="R781" i="9"/>
  <c r="V780" i="9"/>
  <c r="AD85" i="5" s="1"/>
  <c r="U780" i="9"/>
  <c r="AC85" i="5" s="1"/>
  <c r="T780" i="9"/>
  <c r="AB85" i="5" s="1"/>
  <c r="S780" i="9"/>
  <c r="AA85" i="5" s="1"/>
  <c r="R780" i="9"/>
  <c r="Z85" i="5" s="1"/>
  <c r="V779" i="9"/>
  <c r="U779" i="9"/>
  <c r="T779" i="9"/>
  <c r="S779" i="9"/>
  <c r="R779" i="9"/>
  <c r="V778" i="9"/>
  <c r="AD152" i="5" s="1"/>
  <c r="U778" i="9"/>
  <c r="AC152" i="5" s="1"/>
  <c r="T778" i="9"/>
  <c r="AB152" i="5" s="1"/>
  <c r="S778" i="9"/>
  <c r="AA152" i="5" s="1"/>
  <c r="R778" i="9"/>
  <c r="Z152" i="5" s="1"/>
  <c r="V777" i="9"/>
  <c r="U777" i="9"/>
  <c r="T777" i="9"/>
  <c r="S777" i="9"/>
  <c r="R777" i="9"/>
  <c r="V776" i="9"/>
  <c r="U776" i="9"/>
  <c r="T776" i="9"/>
  <c r="S776" i="9"/>
  <c r="R776" i="9"/>
  <c r="V775" i="9"/>
  <c r="U775" i="9"/>
  <c r="T775" i="9"/>
  <c r="S775" i="9"/>
  <c r="R775" i="9"/>
  <c r="V774" i="9"/>
  <c r="U774" i="9"/>
  <c r="T774" i="9"/>
  <c r="S774" i="9"/>
  <c r="R774" i="9"/>
  <c r="V773" i="9"/>
  <c r="U773" i="9"/>
  <c r="T773" i="9"/>
  <c r="S773" i="9"/>
  <c r="R773" i="9"/>
  <c r="V772" i="9"/>
  <c r="U772" i="9"/>
  <c r="T772" i="9"/>
  <c r="S772" i="9"/>
  <c r="R772" i="9"/>
  <c r="V771" i="9"/>
  <c r="U771" i="9"/>
  <c r="T771" i="9"/>
  <c r="S771" i="9"/>
  <c r="R771" i="9"/>
  <c r="V770" i="9"/>
  <c r="U770" i="9"/>
  <c r="T770" i="9"/>
  <c r="S770" i="9"/>
  <c r="R770" i="9"/>
  <c r="V769" i="9"/>
  <c r="U769" i="9"/>
  <c r="T769" i="9"/>
  <c r="S769" i="9"/>
  <c r="R769" i="9"/>
  <c r="V768" i="9"/>
  <c r="U768" i="9"/>
  <c r="T768" i="9"/>
  <c r="S768" i="9"/>
  <c r="R768" i="9"/>
  <c r="V767" i="9"/>
  <c r="U767" i="9"/>
  <c r="T767" i="9"/>
  <c r="S767" i="9"/>
  <c r="R767" i="9"/>
  <c r="V766" i="9"/>
  <c r="U766" i="9"/>
  <c r="T766" i="9"/>
  <c r="S766" i="9"/>
  <c r="R766" i="9"/>
  <c r="V765" i="9"/>
  <c r="U765" i="9"/>
  <c r="T765" i="9"/>
  <c r="S765" i="9"/>
  <c r="R765" i="9"/>
  <c r="V764" i="9"/>
  <c r="U764" i="9"/>
  <c r="T764" i="9"/>
  <c r="S764" i="9"/>
  <c r="R764" i="9"/>
  <c r="V763" i="9"/>
  <c r="U763" i="9"/>
  <c r="T763" i="9"/>
  <c r="S763" i="9"/>
  <c r="R763" i="9"/>
  <c r="V762" i="9"/>
  <c r="U762" i="9"/>
  <c r="T762" i="9"/>
  <c r="S762" i="9"/>
  <c r="R762" i="9"/>
  <c r="V761" i="9"/>
  <c r="U761" i="9"/>
  <c r="T761" i="9"/>
  <c r="S761" i="9"/>
  <c r="R761" i="9"/>
  <c r="V760" i="9"/>
  <c r="U760" i="9"/>
  <c r="T760" i="9"/>
  <c r="S760" i="9"/>
  <c r="R760" i="9"/>
  <c r="V759" i="9"/>
  <c r="U759" i="9"/>
  <c r="T759" i="9"/>
  <c r="S759" i="9"/>
  <c r="R759" i="9"/>
  <c r="V758" i="9"/>
  <c r="U758" i="9"/>
  <c r="T758" i="9"/>
  <c r="S758" i="9"/>
  <c r="R758" i="9"/>
  <c r="V757" i="9"/>
  <c r="U757" i="9"/>
  <c r="T757" i="9"/>
  <c r="S757" i="9"/>
  <c r="R757" i="9"/>
  <c r="V756" i="9"/>
  <c r="U756" i="9"/>
  <c r="T756" i="9"/>
  <c r="S756" i="9"/>
  <c r="R756" i="9"/>
  <c r="V755" i="9"/>
  <c r="U755" i="9"/>
  <c r="T755" i="9"/>
  <c r="S755" i="9"/>
  <c r="R755" i="9"/>
  <c r="V754" i="9"/>
  <c r="U754" i="9"/>
  <c r="T754" i="9"/>
  <c r="S754" i="9"/>
  <c r="R754" i="9"/>
  <c r="V753" i="9"/>
  <c r="U753" i="9"/>
  <c r="T753" i="9"/>
  <c r="S753" i="9"/>
  <c r="R753" i="9"/>
  <c r="V752" i="9"/>
  <c r="U752" i="9"/>
  <c r="T752" i="9"/>
  <c r="S752" i="9"/>
  <c r="R752" i="9"/>
  <c r="V751" i="9"/>
  <c r="U751" i="9"/>
  <c r="T751" i="9"/>
  <c r="S751" i="9"/>
  <c r="R751" i="9"/>
  <c r="V750" i="9"/>
  <c r="U750" i="9"/>
  <c r="T750" i="9"/>
  <c r="S750" i="9"/>
  <c r="R750" i="9"/>
  <c r="V749" i="9"/>
  <c r="U749" i="9"/>
  <c r="T749" i="9"/>
  <c r="S749" i="9"/>
  <c r="R749" i="9"/>
  <c r="V748" i="9"/>
  <c r="U748" i="9"/>
  <c r="T748" i="9"/>
  <c r="S748" i="9"/>
  <c r="R748" i="9"/>
  <c r="V747" i="9"/>
  <c r="U747" i="9"/>
  <c r="T747" i="9"/>
  <c r="S747" i="9"/>
  <c r="R747" i="9"/>
  <c r="V746" i="9"/>
  <c r="U746" i="9"/>
  <c r="T746" i="9"/>
  <c r="S746" i="9"/>
  <c r="R746" i="9"/>
  <c r="V745" i="9"/>
  <c r="AD179" i="5" s="1"/>
  <c r="U745" i="9"/>
  <c r="T745" i="9"/>
  <c r="AB179" i="5" s="1"/>
  <c r="S745" i="9"/>
  <c r="AA179" i="5" s="1"/>
  <c r="R745" i="9"/>
  <c r="Z179" i="5" s="1"/>
  <c r="V744" i="9"/>
  <c r="U744" i="9"/>
  <c r="T744" i="9"/>
  <c r="S744" i="9"/>
  <c r="R744" i="9"/>
  <c r="V743" i="9"/>
  <c r="U743" i="9"/>
  <c r="T743" i="9"/>
  <c r="S743" i="9"/>
  <c r="R743" i="9"/>
  <c r="V742" i="9"/>
  <c r="U742" i="9"/>
  <c r="T742" i="9"/>
  <c r="S742" i="9"/>
  <c r="R742" i="9"/>
  <c r="V741" i="9"/>
  <c r="U741" i="9"/>
  <c r="T741" i="9"/>
  <c r="S741" i="9"/>
  <c r="R741" i="9"/>
  <c r="V740" i="9"/>
  <c r="U740" i="9"/>
  <c r="T740" i="9"/>
  <c r="S740" i="9"/>
  <c r="R740" i="9"/>
  <c r="V739" i="9"/>
  <c r="U739" i="9"/>
  <c r="T739" i="9"/>
  <c r="S739" i="9"/>
  <c r="R739" i="9"/>
  <c r="V738" i="9"/>
  <c r="U738" i="9"/>
  <c r="T738" i="9"/>
  <c r="S738" i="9"/>
  <c r="R738" i="9"/>
  <c r="V737" i="9"/>
  <c r="AD123" i="5" s="1"/>
  <c r="U737" i="9"/>
  <c r="AC123" i="5" s="1"/>
  <c r="T737" i="9"/>
  <c r="AB123" i="5" s="1"/>
  <c r="S737" i="9"/>
  <c r="AA123" i="5" s="1"/>
  <c r="R737" i="9"/>
  <c r="Z123" i="5" s="1"/>
  <c r="V736" i="9"/>
  <c r="U736" i="9"/>
  <c r="T736" i="9"/>
  <c r="S736" i="9"/>
  <c r="AA47" i="5" s="1"/>
  <c r="R736" i="9"/>
  <c r="Z47" i="5" s="1"/>
  <c r="V735" i="9"/>
  <c r="U735" i="9"/>
  <c r="T735" i="9"/>
  <c r="S735" i="9"/>
  <c r="R735" i="9"/>
  <c r="V734" i="9"/>
  <c r="U734" i="9"/>
  <c r="T734" i="9"/>
  <c r="S734" i="9"/>
  <c r="R734" i="9"/>
  <c r="Z159" i="5" s="1"/>
  <c r="V733" i="9"/>
  <c r="U733" i="9"/>
  <c r="T733" i="9"/>
  <c r="S733" i="9"/>
  <c r="R733" i="9"/>
  <c r="V732" i="9"/>
  <c r="U732" i="9"/>
  <c r="T732" i="9"/>
  <c r="S732" i="9"/>
  <c r="R732" i="9"/>
  <c r="V731" i="9"/>
  <c r="AD125" i="5" s="1"/>
  <c r="U731" i="9"/>
  <c r="AC125" i="5" s="1"/>
  <c r="T731" i="9"/>
  <c r="AB125" i="5" s="1"/>
  <c r="S731" i="9"/>
  <c r="AA125" i="5" s="1"/>
  <c r="R731" i="9"/>
  <c r="Z125" i="5" s="1"/>
  <c r="V730" i="9"/>
  <c r="U730" i="9"/>
  <c r="T730" i="9"/>
  <c r="S730" i="9"/>
  <c r="R730" i="9"/>
  <c r="V729" i="9"/>
  <c r="U729" i="9"/>
  <c r="T729" i="9"/>
  <c r="S729" i="9"/>
  <c r="R729" i="9"/>
  <c r="V728" i="9"/>
  <c r="AD148" i="5" s="1"/>
  <c r="U728" i="9"/>
  <c r="AC148" i="5" s="1"/>
  <c r="T728" i="9"/>
  <c r="AB148" i="5" s="1"/>
  <c r="S728" i="9"/>
  <c r="AA148" i="5" s="1"/>
  <c r="R728" i="9"/>
  <c r="Z148" i="5" s="1"/>
  <c r="V727" i="9"/>
  <c r="AD102" i="5" s="1"/>
  <c r="U727" i="9"/>
  <c r="AC102" i="5" s="1"/>
  <c r="T727" i="9"/>
  <c r="AB102" i="5" s="1"/>
  <c r="S727" i="9"/>
  <c r="AA102" i="5" s="1"/>
  <c r="R727" i="9"/>
  <c r="Z102" i="5" s="1"/>
  <c r="V726" i="9"/>
  <c r="U726" i="9"/>
  <c r="T726" i="9"/>
  <c r="S726" i="9"/>
  <c r="R726" i="9"/>
  <c r="V725" i="9"/>
  <c r="U725" i="9"/>
  <c r="T725" i="9"/>
  <c r="S725" i="9"/>
  <c r="R725" i="9"/>
  <c r="V724" i="9"/>
  <c r="U724" i="9"/>
  <c r="T724" i="9"/>
  <c r="S724" i="9"/>
  <c r="R724" i="9"/>
  <c r="V723" i="9"/>
  <c r="U723" i="9"/>
  <c r="T723" i="9"/>
  <c r="S723" i="9"/>
  <c r="R723" i="9"/>
  <c r="V722" i="9"/>
  <c r="U722" i="9"/>
  <c r="T722" i="9"/>
  <c r="AB84" i="5" s="1"/>
  <c r="S722" i="9"/>
  <c r="R722" i="9"/>
  <c r="V721" i="9"/>
  <c r="U721" i="9"/>
  <c r="T721" i="9"/>
  <c r="S721" i="9"/>
  <c r="R721" i="9"/>
  <c r="V720" i="9"/>
  <c r="AD103" i="5" s="1"/>
  <c r="U720" i="9"/>
  <c r="AC103" i="5" s="1"/>
  <c r="T720" i="9"/>
  <c r="AB103" i="5" s="1"/>
  <c r="S720" i="9"/>
  <c r="AA103" i="5" s="1"/>
  <c r="R720" i="9"/>
  <c r="Z103" i="5" s="1"/>
  <c r="V719" i="9"/>
  <c r="U719" i="9"/>
  <c r="T719" i="9"/>
  <c r="S719" i="9"/>
  <c r="R719" i="9"/>
  <c r="V718" i="9"/>
  <c r="AD166" i="5" s="1"/>
  <c r="U718" i="9"/>
  <c r="AC166" i="5" s="1"/>
  <c r="T718" i="9"/>
  <c r="AB166" i="5" s="1"/>
  <c r="S718" i="9"/>
  <c r="AA166" i="5" s="1"/>
  <c r="R718" i="9"/>
  <c r="Z166" i="5" s="1"/>
  <c r="V717" i="9"/>
  <c r="AD86" i="5" s="1"/>
  <c r="U717" i="9"/>
  <c r="AC86" i="5" s="1"/>
  <c r="T717" i="9"/>
  <c r="AB86" i="5" s="1"/>
  <c r="S717" i="9"/>
  <c r="AA86" i="5" s="1"/>
  <c r="R717" i="9"/>
  <c r="Z86" i="5" s="1"/>
  <c r="V716" i="9"/>
  <c r="U716" i="9"/>
  <c r="T716" i="9"/>
  <c r="S716" i="9"/>
  <c r="R716" i="9"/>
  <c r="V715" i="9"/>
  <c r="U715" i="9"/>
  <c r="T715" i="9"/>
  <c r="S715" i="9"/>
  <c r="R715" i="9"/>
  <c r="V714" i="9"/>
  <c r="U714" i="9"/>
  <c r="T714" i="9"/>
  <c r="S714" i="9"/>
  <c r="R714" i="9"/>
  <c r="V713" i="9"/>
  <c r="AD165" i="5" s="1"/>
  <c r="U713" i="9"/>
  <c r="T713" i="9"/>
  <c r="S713" i="9"/>
  <c r="R713" i="9"/>
  <c r="V712" i="9"/>
  <c r="U712" i="9"/>
  <c r="T712" i="9"/>
  <c r="S712" i="9"/>
  <c r="R712" i="9"/>
  <c r="V711" i="9"/>
  <c r="AD93" i="5" s="1"/>
  <c r="U711" i="9"/>
  <c r="AC93" i="5" s="1"/>
  <c r="T711" i="9"/>
  <c r="AB93" i="5" s="1"/>
  <c r="S711" i="9"/>
  <c r="AA93" i="5" s="1"/>
  <c r="R711" i="9"/>
  <c r="Z93" i="5" s="1"/>
  <c r="V710" i="9"/>
  <c r="U710" i="9"/>
  <c r="T710" i="9"/>
  <c r="S710" i="9"/>
  <c r="R710" i="9"/>
  <c r="V709" i="9"/>
  <c r="U709" i="9"/>
  <c r="T709" i="9"/>
  <c r="S709" i="9"/>
  <c r="R709" i="9"/>
  <c r="V708" i="9"/>
  <c r="U708" i="9"/>
  <c r="T708" i="9"/>
  <c r="S708" i="9"/>
  <c r="R708" i="9"/>
  <c r="V707" i="9"/>
  <c r="U707" i="9"/>
  <c r="T707" i="9"/>
  <c r="S707" i="9"/>
  <c r="R707" i="9"/>
  <c r="V706" i="9"/>
  <c r="U706" i="9"/>
  <c r="T706" i="9"/>
  <c r="S706" i="9"/>
  <c r="R706" i="9"/>
  <c r="V705" i="9"/>
  <c r="U705" i="9"/>
  <c r="T705" i="9"/>
  <c r="S705" i="9"/>
  <c r="R705" i="9"/>
  <c r="V704" i="9"/>
  <c r="U704" i="9"/>
  <c r="T704" i="9"/>
  <c r="S704" i="9"/>
  <c r="R704" i="9"/>
  <c r="V703" i="9"/>
  <c r="U703" i="9"/>
  <c r="T703" i="9"/>
  <c r="S703" i="9"/>
  <c r="R703" i="9"/>
  <c r="V702" i="9"/>
  <c r="AD150" i="5" s="1"/>
  <c r="U702" i="9"/>
  <c r="AC150" i="5" s="1"/>
  <c r="T702" i="9"/>
  <c r="AB150" i="5" s="1"/>
  <c r="S702" i="9"/>
  <c r="AA150" i="5" s="1"/>
  <c r="R702" i="9"/>
  <c r="Z150" i="5" s="1"/>
  <c r="V701" i="9"/>
  <c r="U701" i="9"/>
  <c r="T701" i="9"/>
  <c r="S701" i="9"/>
  <c r="R701" i="9"/>
  <c r="V700" i="9"/>
  <c r="U700" i="9"/>
  <c r="T700" i="9"/>
  <c r="S700" i="9"/>
  <c r="R700" i="9"/>
  <c r="V699" i="9"/>
  <c r="U699" i="9"/>
  <c r="T699" i="9"/>
  <c r="S699" i="9"/>
  <c r="R699" i="9"/>
  <c r="V698" i="9"/>
  <c r="AD20" i="5" s="1"/>
  <c r="U698" i="9"/>
  <c r="AC20" i="5" s="1"/>
  <c r="T698" i="9"/>
  <c r="AB20" i="5" s="1"/>
  <c r="S698" i="9"/>
  <c r="AA20" i="5" s="1"/>
  <c r="R698" i="9"/>
  <c r="Z20" i="5" s="1"/>
  <c r="V697" i="9"/>
  <c r="U697" i="9"/>
  <c r="T697" i="9"/>
  <c r="S697" i="9"/>
  <c r="R697" i="9"/>
  <c r="V696" i="9"/>
  <c r="U696" i="9"/>
  <c r="T696" i="9"/>
  <c r="S696" i="9"/>
  <c r="R696" i="9"/>
  <c r="V695" i="9"/>
  <c r="AD155" i="5" s="1"/>
  <c r="U695" i="9"/>
  <c r="AC155" i="5" s="1"/>
  <c r="T695" i="9"/>
  <c r="AB155" i="5" s="1"/>
  <c r="S695" i="9"/>
  <c r="AA155" i="5" s="1"/>
  <c r="R695" i="9"/>
  <c r="Z155" i="5" s="1"/>
  <c r="V694" i="9"/>
  <c r="U694" i="9"/>
  <c r="T694" i="9"/>
  <c r="S694" i="9"/>
  <c r="R694" i="9"/>
  <c r="V693" i="9"/>
  <c r="U693" i="9"/>
  <c r="T693" i="9"/>
  <c r="S693" i="9"/>
  <c r="R693" i="9"/>
  <c r="V692" i="9"/>
  <c r="U692" i="9"/>
  <c r="T692" i="9"/>
  <c r="S692" i="9"/>
  <c r="R692" i="9"/>
  <c r="V691" i="9"/>
  <c r="U691" i="9"/>
  <c r="T691" i="9"/>
  <c r="S691" i="9"/>
  <c r="R691" i="9"/>
  <c r="V685" i="9"/>
  <c r="U685" i="9"/>
  <c r="T685" i="9"/>
  <c r="S685" i="9"/>
  <c r="R685" i="9"/>
  <c r="V684" i="9"/>
  <c r="U684" i="9"/>
  <c r="T684" i="9"/>
  <c r="S684" i="9"/>
  <c r="R684" i="9"/>
  <c r="V683" i="9"/>
  <c r="U683" i="9"/>
  <c r="T683" i="9"/>
  <c r="S683" i="9"/>
  <c r="R683" i="9"/>
  <c r="V682" i="9"/>
  <c r="U682" i="9"/>
  <c r="T682" i="9"/>
  <c r="S682" i="9"/>
  <c r="R682" i="9"/>
  <c r="V681" i="9"/>
  <c r="U681" i="9"/>
  <c r="T681" i="9"/>
  <c r="S681" i="9"/>
  <c r="R681" i="9"/>
  <c r="V680" i="9"/>
  <c r="U680" i="9"/>
  <c r="T680" i="9"/>
  <c r="S680" i="9"/>
  <c r="R680" i="9"/>
  <c r="V679" i="9"/>
  <c r="U679" i="9"/>
  <c r="T679" i="9"/>
  <c r="S679" i="9"/>
  <c r="R679" i="9"/>
  <c r="V678" i="9"/>
  <c r="U678" i="9"/>
  <c r="T678" i="9"/>
  <c r="S678" i="9"/>
  <c r="R678" i="9"/>
  <c r="V677" i="9"/>
  <c r="U677" i="9"/>
  <c r="T677" i="9"/>
  <c r="S677" i="9"/>
  <c r="R677" i="9"/>
  <c r="V676" i="9"/>
  <c r="U676" i="9"/>
  <c r="T676" i="9"/>
  <c r="S676" i="9"/>
  <c r="R676" i="9"/>
  <c r="V674" i="9"/>
  <c r="AD133" i="5" s="1"/>
  <c r="U674" i="9"/>
  <c r="AC133" i="5" s="1"/>
  <c r="T674" i="9"/>
  <c r="AB133" i="5" s="1"/>
  <c r="S674" i="9"/>
  <c r="AA133" i="5" s="1"/>
  <c r="R674" i="9"/>
  <c r="Z133" i="5" s="1"/>
  <c r="V673" i="9"/>
  <c r="U673" i="9"/>
  <c r="T673" i="9"/>
  <c r="S673" i="9"/>
  <c r="R673" i="9"/>
  <c r="V672" i="9"/>
  <c r="U672" i="9"/>
  <c r="T672" i="9"/>
  <c r="S672" i="9"/>
  <c r="R672" i="9"/>
  <c r="V671" i="9"/>
  <c r="U671" i="9"/>
  <c r="T671" i="9"/>
  <c r="S671" i="9"/>
  <c r="R671" i="9"/>
  <c r="V670" i="9"/>
  <c r="U670" i="9"/>
  <c r="T670" i="9"/>
  <c r="S670" i="9"/>
  <c r="R670" i="9"/>
  <c r="V669" i="9"/>
  <c r="U669" i="9"/>
  <c r="T669" i="9"/>
  <c r="S669" i="9"/>
  <c r="R669" i="9"/>
  <c r="V668" i="9"/>
  <c r="U668" i="9"/>
  <c r="T668" i="9"/>
  <c r="S668" i="9"/>
  <c r="R668" i="9"/>
  <c r="V667" i="9"/>
  <c r="U667" i="9"/>
  <c r="T667" i="9"/>
  <c r="S667" i="9"/>
  <c r="R667" i="9"/>
  <c r="V666" i="9"/>
  <c r="U666" i="9"/>
  <c r="T666" i="9"/>
  <c r="S666" i="9"/>
  <c r="R666" i="9"/>
  <c r="V665" i="9"/>
  <c r="U665" i="9"/>
  <c r="T665" i="9"/>
  <c r="S665" i="9"/>
  <c r="R665" i="9"/>
  <c r="V664" i="9"/>
  <c r="U664" i="9"/>
  <c r="T664" i="9"/>
  <c r="S664" i="9"/>
  <c r="R664" i="9"/>
  <c r="V663" i="9"/>
  <c r="U663" i="9"/>
  <c r="T663" i="9"/>
  <c r="S663" i="9"/>
  <c r="R663" i="9"/>
  <c r="V662" i="9"/>
  <c r="U662" i="9"/>
  <c r="T662" i="9"/>
  <c r="S662" i="9"/>
  <c r="R662" i="9"/>
  <c r="V661" i="9"/>
  <c r="U661" i="9"/>
  <c r="T661" i="9"/>
  <c r="S661" i="9"/>
  <c r="R661" i="9"/>
  <c r="V660" i="9"/>
  <c r="U660" i="9"/>
  <c r="T660" i="9"/>
  <c r="S660" i="9"/>
  <c r="R660" i="9"/>
  <c r="V659" i="9"/>
  <c r="U659" i="9"/>
  <c r="T659" i="9"/>
  <c r="S659" i="9"/>
  <c r="R659" i="9"/>
  <c r="V658" i="9"/>
  <c r="U658" i="9"/>
  <c r="T658" i="9"/>
  <c r="S658" i="9"/>
  <c r="R658" i="9"/>
  <c r="V657" i="9"/>
  <c r="U657" i="9"/>
  <c r="T657" i="9"/>
  <c r="S657" i="9"/>
  <c r="R657" i="9"/>
  <c r="V656" i="9"/>
  <c r="U656" i="9"/>
  <c r="T656" i="9"/>
  <c r="S656" i="9"/>
  <c r="R656" i="9"/>
  <c r="V655" i="9"/>
  <c r="U655" i="9"/>
  <c r="T655" i="9"/>
  <c r="S655" i="9"/>
  <c r="R655" i="9"/>
  <c r="V654" i="9"/>
  <c r="U654" i="9"/>
  <c r="T654" i="9"/>
  <c r="S654" i="9"/>
  <c r="R654" i="9"/>
  <c r="V653" i="9"/>
  <c r="AD113" i="5" s="1"/>
  <c r="U653" i="9"/>
  <c r="AC113" i="5" s="1"/>
  <c r="T653" i="9"/>
  <c r="AB113" i="5" s="1"/>
  <c r="S653" i="9"/>
  <c r="AA113" i="5" s="1"/>
  <c r="R653" i="9"/>
  <c r="Z113" i="5" s="1"/>
  <c r="V652" i="9"/>
  <c r="U652" i="9"/>
  <c r="T652" i="9"/>
  <c r="S652" i="9"/>
  <c r="R652" i="9"/>
  <c r="V651" i="9"/>
  <c r="U651" i="9"/>
  <c r="T651" i="9"/>
  <c r="S651" i="9"/>
  <c r="R651" i="9"/>
  <c r="V650" i="9"/>
  <c r="U650" i="9"/>
  <c r="T650" i="9"/>
  <c r="S650" i="9"/>
  <c r="R650" i="9"/>
  <c r="V649" i="9"/>
  <c r="U649" i="9"/>
  <c r="T649" i="9"/>
  <c r="S649" i="9"/>
  <c r="R649" i="9"/>
  <c r="V648" i="9"/>
  <c r="U648" i="9"/>
  <c r="T648" i="9"/>
  <c r="S648" i="9"/>
  <c r="R648" i="9"/>
  <c r="V647" i="9"/>
  <c r="U647" i="9"/>
  <c r="T647" i="9"/>
  <c r="S647" i="9"/>
  <c r="R647" i="9"/>
  <c r="V646" i="9"/>
  <c r="U646" i="9"/>
  <c r="T646" i="9"/>
  <c r="S646" i="9"/>
  <c r="R646" i="9"/>
  <c r="V645" i="9"/>
  <c r="U645" i="9"/>
  <c r="T645" i="9"/>
  <c r="S645" i="9"/>
  <c r="R645" i="9"/>
  <c r="V644" i="9"/>
  <c r="U644" i="9"/>
  <c r="T644" i="9"/>
  <c r="S644" i="9"/>
  <c r="R644" i="9"/>
  <c r="V643" i="9"/>
  <c r="U643" i="9"/>
  <c r="T643" i="9"/>
  <c r="S643" i="9"/>
  <c r="R643" i="9"/>
  <c r="V642" i="9"/>
  <c r="U642" i="9"/>
  <c r="T642" i="9"/>
  <c r="S642" i="9"/>
  <c r="R642" i="9"/>
  <c r="V641" i="9"/>
  <c r="U641" i="9"/>
  <c r="T641" i="9"/>
  <c r="S641" i="9"/>
  <c r="R641" i="9"/>
  <c r="V640" i="9"/>
  <c r="AD90" i="5" s="1"/>
  <c r="U640" i="9"/>
  <c r="AC90" i="5" s="1"/>
  <c r="T640" i="9"/>
  <c r="AB90" i="5" s="1"/>
  <c r="S640" i="9"/>
  <c r="AA90" i="5" s="1"/>
  <c r="R640" i="9"/>
  <c r="Z90" i="5" s="1"/>
  <c r="V639" i="9"/>
  <c r="U639" i="9"/>
  <c r="T639" i="9"/>
  <c r="S639" i="9"/>
  <c r="R639" i="9"/>
  <c r="V638" i="9"/>
  <c r="U638" i="9"/>
  <c r="T638" i="9"/>
  <c r="S638" i="9"/>
  <c r="R638" i="9"/>
  <c r="V637" i="9"/>
  <c r="U637" i="9"/>
  <c r="T637" i="9"/>
  <c r="S637" i="9"/>
  <c r="R637" i="9"/>
  <c r="V636" i="9"/>
  <c r="U636" i="9"/>
  <c r="T636" i="9"/>
  <c r="S636" i="9"/>
  <c r="R636" i="9"/>
  <c r="V635" i="9"/>
  <c r="U635" i="9"/>
  <c r="T635" i="9"/>
  <c r="S635" i="9"/>
  <c r="R635" i="9"/>
  <c r="V634" i="9"/>
  <c r="U634" i="9"/>
  <c r="T634" i="9"/>
  <c r="S634" i="9"/>
  <c r="R634" i="9"/>
  <c r="V633" i="9"/>
  <c r="U633" i="9"/>
  <c r="T633" i="9"/>
  <c r="S633" i="9"/>
  <c r="R633" i="9"/>
  <c r="V632" i="9"/>
  <c r="U632" i="9"/>
  <c r="T632" i="9"/>
  <c r="S632" i="9"/>
  <c r="R632" i="9"/>
  <c r="V631" i="9"/>
  <c r="AD138" i="5" s="1"/>
  <c r="U631" i="9"/>
  <c r="AC138" i="5" s="1"/>
  <c r="T631" i="9"/>
  <c r="AB138" i="5" s="1"/>
  <c r="S631" i="9"/>
  <c r="AA138" i="5" s="1"/>
  <c r="R631" i="9"/>
  <c r="Z138" i="5" s="1"/>
  <c r="V630" i="9"/>
  <c r="U630" i="9"/>
  <c r="T630" i="9"/>
  <c r="S630" i="9"/>
  <c r="R630" i="9"/>
  <c r="V629" i="9"/>
  <c r="U629" i="9"/>
  <c r="T629" i="9"/>
  <c r="S629" i="9"/>
  <c r="R629" i="9"/>
  <c r="V628" i="9"/>
  <c r="U628" i="9"/>
  <c r="T628" i="9"/>
  <c r="S628" i="9"/>
  <c r="R628" i="9"/>
  <c r="V627" i="9"/>
  <c r="U627" i="9"/>
  <c r="T627" i="9"/>
  <c r="S627" i="9"/>
  <c r="R627" i="9"/>
  <c r="V626" i="9"/>
  <c r="AD32" i="5" s="1"/>
  <c r="U626" i="9"/>
  <c r="AC32" i="5" s="1"/>
  <c r="T626" i="9"/>
  <c r="AB32" i="5" s="1"/>
  <c r="S626" i="9"/>
  <c r="AA32" i="5" s="1"/>
  <c r="R626" i="9"/>
  <c r="Z32" i="5" s="1"/>
  <c r="V625" i="9"/>
  <c r="U625" i="9"/>
  <c r="T625" i="9"/>
  <c r="S625" i="9"/>
  <c r="R625" i="9"/>
  <c r="V624" i="9"/>
  <c r="U624" i="9"/>
  <c r="T624" i="9"/>
  <c r="S624" i="9"/>
  <c r="R624" i="9"/>
  <c r="V623" i="9"/>
  <c r="U623" i="9"/>
  <c r="T623" i="9"/>
  <c r="S623" i="9"/>
  <c r="R623" i="9"/>
  <c r="V622" i="9"/>
  <c r="U622" i="9"/>
  <c r="T622" i="9"/>
  <c r="S622" i="9"/>
  <c r="R622" i="9"/>
  <c r="V621" i="9"/>
  <c r="U621" i="9"/>
  <c r="T621" i="9"/>
  <c r="S621" i="9"/>
  <c r="R621" i="9"/>
  <c r="V620" i="9"/>
  <c r="U620" i="9"/>
  <c r="T620" i="9"/>
  <c r="S620" i="9"/>
  <c r="R620" i="9"/>
  <c r="V619" i="9"/>
  <c r="U619" i="9"/>
  <c r="T619" i="9"/>
  <c r="S619" i="9"/>
  <c r="R619" i="9"/>
  <c r="V618" i="9"/>
  <c r="U618" i="9"/>
  <c r="T618" i="9"/>
  <c r="S618" i="9"/>
  <c r="R618" i="9"/>
  <c r="V617" i="9"/>
  <c r="U617" i="9"/>
  <c r="T617" i="9"/>
  <c r="S617" i="9"/>
  <c r="R617" i="9"/>
  <c r="V616" i="9"/>
  <c r="U616" i="9"/>
  <c r="T616" i="9"/>
  <c r="S616" i="9"/>
  <c r="R616" i="9"/>
  <c r="V615" i="9"/>
  <c r="U615" i="9"/>
  <c r="T615" i="9"/>
  <c r="S615" i="9"/>
  <c r="R615" i="9"/>
  <c r="V614" i="9"/>
  <c r="U614" i="9"/>
  <c r="T614" i="9"/>
  <c r="S614" i="9"/>
  <c r="R614" i="9"/>
  <c r="V613" i="9"/>
  <c r="U613" i="9"/>
  <c r="T613" i="9"/>
  <c r="S613" i="9"/>
  <c r="R613" i="9"/>
  <c r="V612" i="9"/>
  <c r="U612" i="9"/>
  <c r="T612" i="9"/>
  <c r="S612" i="9"/>
  <c r="R612" i="9"/>
  <c r="V611" i="9"/>
  <c r="U611" i="9"/>
  <c r="T611" i="9"/>
  <c r="S611" i="9"/>
  <c r="R611" i="9"/>
  <c r="V610" i="9"/>
  <c r="U610" i="9"/>
  <c r="T610" i="9"/>
  <c r="S610" i="9"/>
  <c r="R610" i="9"/>
  <c r="V609" i="9"/>
  <c r="U609" i="9"/>
  <c r="T609" i="9"/>
  <c r="S609" i="9"/>
  <c r="R609" i="9"/>
  <c r="V608" i="9"/>
  <c r="U608" i="9"/>
  <c r="T608" i="9"/>
  <c r="S608" i="9"/>
  <c r="R608" i="9"/>
  <c r="V607" i="9"/>
  <c r="U607" i="9"/>
  <c r="T607" i="9"/>
  <c r="S607" i="9"/>
  <c r="R607" i="9"/>
  <c r="V606" i="9"/>
  <c r="U606" i="9"/>
  <c r="T606" i="9"/>
  <c r="S606" i="9"/>
  <c r="R606" i="9"/>
  <c r="V605" i="9"/>
  <c r="U605" i="9"/>
  <c r="T605" i="9"/>
  <c r="S605" i="9"/>
  <c r="R605" i="9"/>
  <c r="V604" i="9"/>
  <c r="U604" i="9"/>
  <c r="T604" i="9"/>
  <c r="S604" i="9"/>
  <c r="R604" i="9"/>
  <c r="V603" i="9"/>
  <c r="U603" i="9"/>
  <c r="T603" i="9"/>
  <c r="S603" i="9"/>
  <c r="R603" i="9"/>
  <c r="V602" i="9"/>
  <c r="AD169" i="5" s="1"/>
  <c r="U602" i="9"/>
  <c r="T602" i="9"/>
  <c r="AB169" i="5" s="1"/>
  <c r="S602" i="9"/>
  <c r="AA169" i="5" s="1"/>
  <c r="R602" i="9"/>
  <c r="Z169" i="5" s="1"/>
  <c r="V601" i="9"/>
  <c r="U601" i="9"/>
  <c r="T601" i="9"/>
  <c r="S601" i="9"/>
  <c r="R601" i="9"/>
  <c r="V600" i="9"/>
  <c r="U600" i="9"/>
  <c r="T600" i="9"/>
  <c r="S600" i="9"/>
  <c r="R600" i="9"/>
  <c r="V599" i="9"/>
  <c r="U599" i="9"/>
  <c r="T599" i="9"/>
  <c r="S599" i="9"/>
  <c r="R599" i="9"/>
  <c r="V598" i="9"/>
  <c r="U598" i="9"/>
  <c r="T598" i="9"/>
  <c r="S598" i="9"/>
  <c r="R598" i="9"/>
  <c r="V597" i="9"/>
  <c r="U597" i="9"/>
  <c r="T597" i="9"/>
  <c r="S597" i="9"/>
  <c r="R597" i="9"/>
  <c r="V596" i="9"/>
  <c r="U596" i="9"/>
  <c r="T596" i="9"/>
  <c r="S596" i="9"/>
  <c r="R596" i="9"/>
  <c r="V595" i="9"/>
  <c r="U595" i="9"/>
  <c r="T595" i="9"/>
  <c r="S595" i="9"/>
  <c r="R595" i="9"/>
  <c r="V594" i="9"/>
  <c r="U594" i="9"/>
  <c r="T594" i="9"/>
  <c r="S594" i="9"/>
  <c r="R594" i="9"/>
  <c r="V593" i="9"/>
  <c r="AD153" i="5" s="1"/>
  <c r="U593" i="9"/>
  <c r="T593" i="9"/>
  <c r="AB153" i="5" s="1"/>
  <c r="S593" i="9"/>
  <c r="AA153" i="5" s="1"/>
  <c r="R593" i="9"/>
  <c r="Z153" i="5" s="1"/>
  <c r="V592" i="9"/>
  <c r="U592" i="9"/>
  <c r="T592" i="9"/>
  <c r="S592" i="9"/>
  <c r="R592" i="9"/>
  <c r="V591" i="9"/>
  <c r="U591" i="9"/>
  <c r="T591" i="9"/>
  <c r="S591" i="9"/>
  <c r="R591" i="9"/>
  <c r="V590" i="9"/>
  <c r="U590" i="9"/>
  <c r="T590" i="9"/>
  <c r="S590" i="9"/>
  <c r="R590" i="9"/>
  <c r="V589" i="9"/>
  <c r="U589" i="9"/>
  <c r="T589" i="9"/>
  <c r="S589" i="9"/>
  <c r="R589" i="9"/>
  <c r="V588" i="9"/>
  <c r="U588" i="9"/>
  <c r="T588" i="9"/>
  <c r="S588" i="9"/>
  <c r="R588" i="9"/>
  <c r="V587" i="9"/>
  <c r="U587" i="9"/>
  <c r="T587" i="9"/>
  <c r="S587" i="9"/>
  <c r="R587" i="9"/>
  <c r="V586" i="9"/>
  <c r="U586" i="9"/>
  <c r="T586" i="9"/>
  <c r="S586" i="9"/>
  <c r="R586" i="9"/>
  <c r="V585" i="9"/>
  <c r="AD80" i="5" s="1"/>
  <c r="U585" i="9"/>
  <c r="AC80" i="5" s="1"/>
  <c r="T585" i="9"/>
  <c r="AB80" i="5" s="1"/>
  <c r="S585" i="9"/>
  <c r="AA80" i="5" s="1"/>
  <c r="R585" i="9"/>
  <c r="Z80" i="5" s="1"/>
  <c r="V584" i="9"/>
  <c r="U584" i="9"/>
  <c r="T584" i="9"/>
  <c r="S584" i="9"/>
  <c r="R584" i="9"/>
  <c r="V583" i="9"/>
  <c r="U583" i="9"/>
  <c r="T583" i="9"/>
  <c r="S583" i="9"/>
  <c r="R583" i="9"/>
  <c r="V582" i="9"/>
  <c r="U582" i="9"/>
  <c r="S582" i="9"/>
  <c r="R582" i="9"/>
  <c r="V581" i="9"/>
  <c r="U581" i="9"/>
  <c r="T581" i="9"/>
  <c r="S581" i="9"/>
  <c r="R581" i="9"/>
  <c r="V580" i="9"/>
  <c r="U580" i="9"/>
  <c r="T580" i="9"/>
  <c r="S580" i="9"/>
  <c r="R580" i="9"/>
  <c r="V579" i="9"/>
  <c r="U579" i="9"/>
  <c r="T579" i="9"/>
  <c r="S579" i="9"/>
  <c r="R579" i="9"/>
  <c r="V578" i="9"/>
  <c r="U578" i="9"/>
  <c r="T578" i="9"/>
  <c r="S578" i="9"/>
  <c r="R578" i="9"/>
  <c r="V577" i="9"/>
  <c r="U577" i="9"/>
  <c r="T577" i="9"/>
  <c r="S577" i="9"/>
  <c r="R577" i="9"/>
  <c r="V576" i="9"/>
  <c r="U576" i="9"/>
  <c r="T576" i="9"/>
  <c r="S576" i="9"/>
  <c r="R576" i="9"/>
  <c r="V575" i="9"/>
  <c r="U575" i="9"/>
  <c r="T575" i="9"/>
  <c r="S575" i="9"/>
  <c r="R575" i="9"/>
  <c r="V574" i="9"/>
  <c r="AD35" i="5" s="1"/>
  <c r="U574" i="9"/>
  <c r="AC35" i="5" s="1"/>
  <c r="T574" i="9"/>
  <c r="S574" i="9"/>
  <c r="AA35" i="5" s="1"/>
  <c r="R574" i="9"/>
  <c r="V573" i="9"/>
  <c r="U573" i="9"/>
  <c r="T573" i="9"/>
  <c r="S573" i="9"/>
  <c r="R573" i="9"/>
  <c r="V572" i="9"/>
  <c r="U572" i="9"/>
  <c r="T572" i="9"/>
  <c r="S572" i="9"/>
  <c r="R572" i="9"/>
  <c r="V571" i="9"/>
  <c r="U571" i="9"/>
  <c r="T571" i="9"/>
  <c r="S571" i="9"/>
  <c r="R571" i="9"/>
  <c r="V570" i="9"/>
  <c r="U570" i="9"/>
  <c r="T570" i="9"/>
  <c r="S570" i="9"/>
  <c r="R570" i="9"/>
  <c r="V569" i="9"/>
  <c r="U569" i="9"/>
  <c r="T569" i="9"/>
  <c r="S569" i="9"/>
  <c r="R569" i="9"/>
  <c r="V568" i="9"/>
  <c r="AD131" i="5" s="1"/>
  <c r="U568" i="9"/>
  <c r="AC131" i="5" s="1"/>
  <c r="T568" i="9"/>
  <c r="AB131" i="5" s="1"/>
  <c r="S568" i="9"/>
  <c r="AA131" i="5" s="1"/>
  <c r="R568" i="9"/>
  <c r="Z131" i="5" s="1"/>
  <c r="V567" i="9"/>
  <c r="U567" i="9"/>
  <c r="T567" i="9"/>
  <c r="S567" i="9"/>
  <c r="R567" i="9"/>
  <c r="V566" i="9"/>
  <c r="U566" i="9"/>
  <c r="T566" i="9"/>
  <c r="S566" i="9"/>
  <c r="R566" i="9"/>
  <c r="V565" i="9"/>
  <c r="U565" i="9"/>
  <c r="T565" i="9"/>
  <c r="S565" i="9"/>
  <c r="R565" i="9"/>
  <c r="V564" i="9"/>
  <c r="U564" i="9"/>
  <c r="T564" i="9"/>
  <c r="S564" i="9"/>
  <c r="R564" i="9"/>
  <c r="V563" i="9"/>
  <c r="U563" i="9"/>
  <c r="T563" i="9"/>
  <c r="S563" i="9"/>
  <c r="R563" i="9"/>
  <c r="V562" i="9"/>
  <c r="U562" i="9"/>
  <c r="T562" i="9"/>
  <c r="S562" i="9"/>
  <c r="R562" i="9"/>
  <c r="V561" i="9"/>
  <c r="U561" i="9"/>
  <c r="T561" i="9"/>
  <c r="S561" i="9"/>
  <c r="R561" i="9"/>
  <c r="V560" i="9"/>
  <c r="AD38" i="5" s="1"/>
  <c r="U560" i="9"/>
  <c r="AC38" i="5" s="1"/>
  <c r="T560" i="9"/>
  <c r="AB38" i="5" s="1"/>
  <c r="S560" i="9"/>
  <c r="AA38" i="5" s="1"/>
  <c r="R560" i="9"/>
  <c r="Z38" i="5" s="1"/>
  <c r="V559" i="9"/>
  <c r="U559" i="9"/>
  <c r="T559" i="9"/>
  <c r="S559" i="9"/>
  <c r="R559" i="9"/>
  <c r="V558" i="9"/>
  <c r="U558" i="9"/>
  <c r="T558" i="9"/>
  <c r="S558" i="9"/>
  <c r="R558" i="9"/>
  <c r="V557" i="9"/>
  <c r="U557" i="9"/>
  <c r="T557" i="9"/>
  <c r="S557" i="9"/>
  <c r="R557" i="9"/>
  <c r="V556" i="9"/>
  <c r="U556" i="9"/>
  <c r="T556" i="9"/>
  <c r="S556" i="9"/>
  <c r="R556" i="9"/>
  <c r="V555" i="9"/>
  <c r="U555" i="9"/>
  <c r="T555" i="9"/>
  <c r="S555" i="9"/>
  <c r="R555" i="9"/>
  <c r="V554" i="9"/>
  <c r="U554" i="9"/>
  <c r="T554" i="9"/>
  <c r="S554" i="9"/>
  <c r="R554" i="9"/>
  <c r="V553" i="9"/>
  <c r="U553" i="9"/>
  <c r="T553" i="9"/>
  <c r="S553" i="9"/>
  <c r="R553" i="9"/>
  <c r="V552" i="9"/>
  <c r="U552" i="9"/>
  <c r="T552" i="9"/>
  <c r="S552" i="9"/>
  <c r="R552" i="9"/>
  <c r="V551" i="9"/>
  <c r="U551" i="9"/>
  <c r="T551" i="9"/>
  <c r="S551" i="9"/>
  <c r="R551" i="9"/>
  <c r="V550" i="9"/>
  <c r="U550" i="9"/>
  <c r="T550" i="9"/>
  <c r="S550" i="9"/>
  <c r="R550" i="9"/>
  <c r="V549" i="9"/>
  <c r="U549" i="9"/>
  <c r="T549" i="9"/>
  <c r="S549" i="9"/>
  <c r="R549" i="9"/>
  <c r="V548" i="9"/>
  <c r="U548" i="9"/>
  <c r="T548" i="9"/>
  <c r="S548" i="9"/>
  <c r="R548" i="9"/>
  <c r="V547" i="9"/>
  <c r="U547" i="9"/>
  <c r="T547" i="9"/>
  <c r="S547" i="9"/>
  <c r="R547" i="9"/>
  <c r="V546" i="9"/>
  <c r="U546" i="9"/>
  <c r="T546" i="9"/>
  <c r="S546" i="9"/>
  <c r="R546" i="9"/>
  <c r="V545" i="9"/>
  <c r="U545" i="9"/>
  <c r="T545" i="9"/>
  <c r="S545" i="9"/>
  <c r="R545" i="9"/>
  <c r="V544" i="9"/>
  <c r="U544" i="9"/>
  <c r="T544" i="9"/>
  <c r="S544" i="9"/>
  <c r="R544" i="9"/>
  <c r="V543" i="9"/>
  <c r="U543" i="9"/>
  <c r="T543" i="9"/>
  <c r="S543" i="9"/>
  <c r="R543" i="9"/>
  <c r="V542" i="9"/>
  <c r="AD124" i="5" s="1"/>
  <c r="U542" i="9"/>
  <c r="AC124" i="5" s="1"/>
  <c r="T542" i="9"/>
  <c r="AB124" i="5" s="1"/>
  <c r="S542" i="9"/>
  <c r="AA124" i="5" s="1"/>
  <c r="R542" i="9"/>
  <c r="Z124" i="5" s="1"/>
  <c r="V541" i="9"/>
  <c r="U541" i="9"/>
  <c r="T541" i="9"/>
  <c r="S541" i="9"/>
  <c r="R541" i="9"/>
  <c r="V540" i="9"/>
  <c r="U540" i="9"/>
  <c r="T540" i="9"/>
  <c r="S540" i="9"/>
  <c r="R540" i="9"/>
  <c r="V539" i="9"/>
  <c r="U539" i="9"/>
  <c r="T539" i="9"/>
  <c r="S539" i="9"/>
  <c r="R539" i="9"/>
  <c r="V538" i="9"/>
  <c r="U538" i="9"/>
  <c r="T538" i="9"/>
  <c r="S538" i="9"/>
  <c r="R538" i="9"/>
  <c r="V537" i="9"/>
  <c r="U537" i="9"/>
  <c r="T537" i="9"/>
  <c r="S537" i="9"/>
  <c r="R537" i="9"/>
  <c r="V536" i="9"/>
  <c r="U536" i="9"/>
  <c r="T536" i="9"/>
  <c r="S536" i="9"/>
  <c r="R536" i="9"/>
  <c r="V535" i="9"/>
  <c r="U535" i="9"/>
  <c r="T535" i="9"/>
  <c r="S535" i="9"/>
  <c r="R535" i="9"/>
  <c r="V534" i="9"/>
  <c r="U534" i="9"/>
  <c r="T534" i="9"/>
  <c r="S534" i="9"/>
  <c r="R534" i="9"/>
  <c r="V533" i="9"/>
  <c r="U533" i="9"/>
  <c r="T533" i="9"/>
  <c r="S533" i="9"/>
  <c r="R533" i="9"/>
  <c r="V532" i="9"/>
  <c r="U532" i="9"/>
  <c r="T532" i="9"/>
  <c r="S532" i="9"/>
  <c r="R532" i="9"/>
  <c r="V531" i="9"/>
  <c r="U531" i="9"/>
  <c r="T531" i="9"/>
  <c r="S531" i="9"/>
  <c r="R531" i="9"/>
  <c r="V530" i="9"/>
  <c r="U530" i="9"/>
  <c r="T530" i="9"/>
  <c r="S530" i="9"/>
  <c r="R530" i="9"/>
  <c r="V529" i="9"/>
  <c r="U529" i="9"/>
  <c r="T529" i="9"/>
  <c r="S529" i="9"/>
  <c r="R529" i="9"/>
  <c r="V528" i="9"/>
  <c r="AD68" i="5" s="1"/>
  <c r="U528" i="9"/>
  <c r="AC68" i="5" s="1"/>
  <c r="T528" i="9"/>
  <c r="AB68" i="5" s="1"/>
  <c r="S528" i="9"/>
  <c r="AA68" i="5" s="1"/>
  <c r="R528" i="9"/>
  <c r="Z68" i="5" s="1"/>
  <c r="V527" i="9"/>
  <c r="AD168" i="5" s="1"/>
  <c r="U527" i="9"/>
  <c r="AC168" i="5" s="1"/>
  <c r="T527" i="9"/>
  <c r="AB168" i="5" s="1"/>
  <c r="S527" i="9"/>
  <c r="AA168" i="5" s="1"/>
  <c r="R527" i="9"/>
  <c r="Z168" i="5" s="1"/>
  <c r="V526" i="9"/>
  <c r="U526" i="9"/>
  <c r="T526" i="9"/>
  <c r="S526" i="9"/>
  <c r="R526" i="9"/>
  <c r="V525" i="9"/>
  <c r="U525" i="9"/>
  <c r="T525" i="9"/>
  <c r="S525" i="9"/>
  <c r="R525" i="9"/>
  <c r="V524" i="9"/>
  <c r="U524" i="9"/>
  <c r="T524" i="9"/>
  <c r="S524" i="9"/>
  <c r="R524" i="9"/>
  <c r="V523" i="9"/>
  <c r="U523" i="9"/>
  <c r="T523" i="9"/>
  <c r="S523" i="9"/>
  <c r="R523" i="9"/>
  <c r="V522" i="9"/>
  <c r="U522" i="9"/>
  <c r="T522" i="9"/>
  <c r="S522" i="9"/>
  <c r="R522" i="9"/>
  <c r="V521" i="9"/>
  <c r="U521" i="9"/>
  <c r="T521" i="9"/>
  <c r="S521" i="9"/>
  <c r="R521" i="9"/>
  <c r="V520" i="9"/>
  <c r="U520" i="9"/>
  <c r="T520" i="9"/>
  <c r="S520" i="9"/>
  <c r="R520" i="9"/>
  <c r="V519" i="9"/>
  <c r="U519" i="9"/>
  <c r="T519" i="9"/>
  <c r="S519" i="9"/>
  <c r="R519" i="9"/>
  <c r="V518" i="9"/>
  <c r="U518" i="9"/>
  <c r="T518" i="9"/>
  <c r="S518" i="9"/>
  <c r="R518" i="9"/>
  <c r="Z22" i="5" s="1"/>
  <c r="V517" i="9"/>
  <c r="AD16" i="5" s="1"/>
  <c r="U517" i="9"/>
  <c r="AC16" i="5" s="1"/>
  <c r="T517" i="9"/>
  <c r="AB16" i="5" s="1"/>
  <c r="S517" i="9"/>
  <c r="AA16" i="5" s="1"/>
  <c r="R517" i="9"/>
  <c r="Z16" i="5" s="1"/>
  <c r="V516" i="9"/>
  <c r="U516" i="9"/>
  <c r="T516" i="9"/>
  <c r="S516" i="9"/>
  <c r="R516" i="9"/>
  <c r="V515" i="9"/>
  <c r="U515" i="9"/>
  <c r="T515" i="9"/>
  <c r="S515" i="9"/>
  <c r="R515" i="9"/>
  <c r="V514" i="9"/>
  <c r="AD134" i="5" s="1"/>
  <c r="U514" i="9"/>
  <c r="AC134" i="5" s="1"/>
  <c r="T514" i="9"/>
  <c r="AB134" i="5" s="1"/>
  <c r="S514" i="9"/>
  <c r="AA134" i="5" s="1"/>
  <c r="R514" i="9"/>
  <c r="Z134" i="5" s="1"/>
  <c r="V509" i="9"/>
  <c r="U509" i="9"/>
  <c r="T509" i="9"/>
  <c r="S509" i="9"/>
  <c r="R509" i="9"/>
  <c r="V508" i="9"/>
  <c r="U508" i="9"/>
  <c r="T508" i="9"/>
  <c r="S508" i="9"/>
  <c r="R508" i="9"/>
  <c r="V507" i="9"/>
  <c r="AD7" i="5" s="1"/>
  <c r="U507" i="9"/>
  <c r="AC7" i="5" s="1"/>
  <c r="T507" i="9"/>
  <c r="AB7" i="5" s="1"/>
  <c r="S507" i="9"/>
  <c r="AA7" i="5" s="1"/>
  <c r="R507" i="9"/>
  <c r="Z7" i="5" s="1"/>
  <c r="V506" i="9"/>
  <c r="AD8" i="5" s="1"/>
  <c r="U506" i="9"/>
  <c r="AC8" i="5" s="1"/>
  <c r="T506" i="9"/>
  <c r="AB8" i="5" s="1"/>
  <c r="S506" i="9"/>
  <c r="AA8" i="5" s="1"/>
  <c r="R506" i="9"/>
  <c r="Z8" i="5" s="1"/>
  <c r="V505" i="9"/>
  <c r="U505" i="9"/>
  <c r="T505" i="9"/>
  <c r="S505" i="9"/>
  <c r="R505" i="9"/>
  <c r="V504" i="9"/>
  <c r="U504" i="9"/>
  <c r="T504" i="9"/>
  <c r="S504" i="9"/>
  <c r="R504" i="9"/>
  <c r="V503" i="9"/>
  <c r="U503" i="9"/>
  <c r="T503" i="9"/>
  <c r="S503" i="9"/>
  <c r="R503" i="9"/>
  <c r="V502" i="9"/>
  <c r="AD21" i="5" s="1"/>
  <c r="U502" i="9"/>
  <c r="AC21" i="5" s="1"/>
  <c r="T502" i="9"/>
  <c r="AB21" i="5" s="1"/>
  <c r="S502" i="9"/>
  <c r="AA21" i="5" s="1"/>
  <c r="R502" i="9"/>
  <c r="Z21" i="5" s="1"/>
  <c r="V501" i="9"/>
  <c r="U501" i="9"/>
  <c r="T501" i="9"/>
  <c r="S501" i="9"/>
  <c r="R501" i="9"/>
  <c r="V500" i="9"/>
  <c r="U500" i="9"/>
  <c r="T500" i="9"/>
  <c r="S500" i="9"/>
  <c r="R500" i="9"/>
  <c r="V499" i="9"/>
  <c r="U499" i="9"/>
  <c r="T499" i="9"/>
  <c r="S499" i="9"/>
  <c r="R499" i="9"/>
  <c r="V498" i="9"/>
  <c r="U498" i="9"/>
  <c r="T498" i="9"/>
  <c r="S498" i="9"/>
  <c r="R498" i="9"/>
  <c r="V497" i="9"/>
  <c r="U497" i="9"/>
  <c r="T497" i="9"/>
  <c r="S497" i="9"/>
  <c r="R497" i="9"/>
  <c r="V496" i="9"/>
  <c r="U496" i="9"/>
  <c r="T496" i="9"/>
  <c r="S496" i="9"/>
  <c r="R496" i="9"/>
  <c r="V495" i="9"/>
  <c r="U495" i="9"/>
  <c r="T495" i="9"/>
  <c r="S495" i="9"/>
  <c r="R495" i="9"/>
  <c r="V494" i="9"/>
  <c r="U494" i="9"/>
  <c r="T494" i="9"/>
  <c r="S494" i="9"/>
  <c r="R494" i="9"/>
  <c r="V493" i="9"/>
  <c r="U493" i="9"/>
  <c r="T493" i="9"/>
  <c r="S493" i="9"/>
  <c r="R493" i="9"/>
  <c r="V492" i="9"/>
  <c r="U492" i="9"/>
  <c r="T492" i="9"/>
  <c r="S492" i="9"/>
  <c r="R492" i="9"/>
  <c r="V491" i="9"/>
  <c r="U491" i="9"/>
  <c r="T491" i="9"/>
  <c r="S491" i="9"/>
  <c r="R491" i="9"/>
  <c r="V490" i="9"/>
  <c r="U490" i="9"/>
  <c r="T490" i="9"/>
  <c r="S490" i="9"/>
  <c r="R490" i="9"/>
  <c r="V489" i="9"/>
  <c r="U489" i="9"/>
  <c r="T489" i="9"/>
  <c r="S489" i="9"/>
  <c r="R489" i="9"/>
  <c r="V488" i="9"/>
  <c r="AD141" i="5" s="1"/>
  <c r="U488" i="9"/>
  <c r="AC141" i="5" s="1"/>
  <c r="T488" i="9"/>
  <c r="AB141" i="5" s="1"/>
  <c r="S488" i="9"/>
  <c r="AA141" i="5" s="1"/>
  <c r="R488" i="9"/>
  <c r="Z141" i="5" s="1"/>
  <c r="V487" i="9"/>
  <c r="U487" i="9"/>
  <c r="T487" i="9"/>
  <c r="S487" i="9"/>
  <c r="R487" i="9"/>
  <c r="V486" i="9"/>
  <c r="U486" i="9"/>
  <c r="T486" i="9"/>
  <c r="S486" i="9"/>
  <c r="R486" i="9"/>
  <c r="V485" i="9"/>
  <c r="U485" i="9"/>
  <c r="T485" i="9"/>
  <c r="S485" i="9"/>
  <c r="R485" i="9"/>
  <c r="V484" i="9"/>
  <c r="U484" i="9"/>
  <c r="T484" i="9"/>
  <c r="S484" i="9"/>
  <c r="R484" i="9"/>
  <c r="V483" i="9"/>
  <c r="AD78" i="5" s="1"/>
  <c r="U483" i="9"/>
  <c r="AC78" i="5" s="1"/>
  <c r="T483" i="9"/>
  <c r="AB78" i="5" s="1"/>
  <c r="S483" i="9"/>
  <c r="AA78" i="5" s="1"/>
  <c r="R483" i="9"/>
  <c r="Z78" i="5" s="1"/>
  <c r="V482" i="9"/>
  <c r="U482" i="9"/>
  <c r="T482" i="9"/>
  <c r="S482" i="9"/>
  <c r="R482" i="9"/>
  <c r="V481" i="9"/>
  <c r="U481" i="9"/>
  <c r="T481" i="9"/>
  <c r="S481" i="9"/>
  <c r="R481" i="9"/>
  <c r="V480" i="9"/>
  <c r="U480" i="9"/>
  <c r="T480" i="9"/>
  <c r="S480" i="9"/>
  <c r="R480" i="9"/>
  <c r="V479" i="9"/>
  <c r="U479" i="9"/>
  <c r="T479" i="9"/>
  <c r="S479" i="9"/>
  <c r="R479" i="9"/>
  <c r="V478" i="9"/>
  <c r="U478" i="9"/>
  <c r="T478" i="9"/>
  <c r="S478" i="9"/>
  <c r="R478" i="9"/>
  <c r="V477" i="9"/>
  <c r="U477" i="9"/>
  <c r="T477" i="9"/>
  <c r="S477" i="9"/>
  <c r="R477" i="9"/>
  <c r="V476" i="9"/>
  <c r="U476" i="9"/>
  <c r="T476" i="9"/>
  <c r="S476" i="9"/>
  <c r="R476" i="9"/>
  <c r="V475" i="9"/>
  <c r="U475" i="9"/>
  <c r="T475" i="9"/>
  <c r="S475" i="9"/>
  <c r="R475" i="9"/>
  <c r="V474" i="9"/>
  <c r="U474" i="9"/>
  <c r="T474" i="9"/>
  <c r="S474" i="9"/>
  <c r="R474" i="9"/>
  <c r="V473" i="9"/>
  <c r="U473" i="9"/>
  <c r="T473" i="9"/>
  <c r="S473" i="9"/>
  <c r="R473" i="9"/>
  <c r="V472" i="9"/>
  <c r="U472" i="9"/>
  <c r="T472" i="9"/>
  <c r="S472" i="9"/>
  <c r="R472" i="9"/>
  <c r="V471" i="9"/>
  <c r="U471" i="9"/>
  <c r="T471" i="9"/>
  <c r="S471" i="9"/>
  <c r="R471" i="9"/>
  <c r="V470" i="9"/>
  <c r="U470" i="9"/>
  <c r="T470" i="9"/>
  <c r="S470" i="9"/>
  <c r="R470" i="9"/>
  <c r="V469" i="9"/>
  <c r="U469" i="9"/>
  <c r="T469" i="9"/>
  <c r="S469" i="9"/>
  <c r="R469" i="9"/>
  <c r="V468" i="9"/>
  <c r="U468" i="9"/>
  <c r="T468" i="9"/>
  <c r="S468" i="9"/>
  <c r="R468" i="9"/>
  <c r="V467" i="9"/>
  <c r="U467" i="9"/>
  <c r="T467" i="9"/>
  <c r="S467" i="9"/>
  <c r="R467" i="9"/>
  <c r="V466" i="9"/>
  <c r="U466" i="9"/>
  <c r="T466" i="9"/>
  <c r="S466" i="9"/>
  <c r="R466" i="9"/>
  <c r="V465" i="9"/>
  <c r="U465" i="9"/>
  <c r="T465" i="9"/>
  <c r="S465" i="9"/>
  <c r="R465" i="9"/>
  <c r="V464" i="9"/>
  <c r="AD70" i="5" s="1"/>
  <c r="U464" i="9"/>
  <c r="AC70" i="5" s="1"/>
  <c r="T464" i="9"/>
  <c r="AB70" i="5" s="1"/>
  <c r="S464" i="9"/>
  <c r="AA70" i="5" s="1"/>
  <c r="R464" i="9"/>
  <c r="Z70" i="5" s="1"/>
  <c r="V463" i="9"/>
  <c r="AD66" i="5" s="1"/>
  <c r="U463" i="9"/>
  <c r="AC66" i="5" s="1"/>
  <c r="T463" i="9"/>
  <c r="AB66" i="5" s="1"/>
  <c r="S463" i="9"/>
  <c r="AA66" i="5" s="1"/>
  <c r="R463" i="9"/>
  <c r="Z66" i="5" s="1"/>
  <c r="V462" i="9"/>
  <c r="U462" i="9"/>
  <c r="T462" i="9"/>
  <c r="S462" i="9"/>
  <c r="R462" i="9"/>
  <c r="V461" i="9"/>
  <c r="U461" i="9"/>
  <c r="T461" i="9"/>
  <c r="S461" i="9"/>
  <c r="R461" i="9"/>
  <c r="V460" i="9"/>
  <c r="U460" i="9"/>
  <c r="T460" i="9"/>
  <c r="S460" i="9"/>
  <c r="R460" i="9"/>
  <c r="V459" i="9"/>
  <c r="U459" i="9"/>
  <c r="T459" i="9"/>
  <c r="S459" i="9"/>
  <c r="R459" i="9"/>
  <c r="V458" i="9"/>
  <c r="U458" i="9"/>
  <c r="T458" i="9"/>
  <c r="S458" i="9"/>
  <c r="R458" i="9"/>
  <c r="V457" i="9"/>
  <c r="U457" i="9"/>
  <c r="T457" i="9"/>
  <c r="S457" i="9"/>
  <c r="R457" i="9"/>
  <c r="V456" i="9"/>
  <c r="U456" i="9"/>
  <c r="T456" i="9"/>
  <c r="S456" i="9"/>
  <c r="R456" i="9"/>
  <c r="V455" i="9"/>
  <c r="U455" i="9"/>
  <c r="T455" i="9"/>
  <c r="S455" i="9"/>
  <c r="R455" i="9"/>
  <c r="V454" i="9"/>
  <c r="U454" i="9"/>
  <c r="T454" i="9"/>
  <c r="S454" i="9"/>
  <c r="R454" i="9"/>
  <c r="V453" i="9"/>
  <c r="U453" i="9"/>
  <c r="T453" i="9"/>
  <c r="S453" i="9"/>
  <c r="R453" i="9"/>
  <c r="V452" i="9"/>
  <c r="U452" i="9"/>
  <c r="T452" i="9"/>
  <c r="S452" i="9"/>
  <c r="R452" i="9"/>
  <c r="V451" i="9"/>
  <c r="U451" i="9"/>
  <c r="T451" i="9"/>
  <c r="S451" i="9"/>
  <c r="R451" i="9"/>
  <c r="V450" i="9"/>
  <c r="U450" i="9"/>
  <c r="T450" i="9"/>
  <c r="S450" i="9"/>
  <c r="R450" i="9"/>
  <c r="V449" i="9"/>
  <c r="U449" i="9"/>
  <c r="T449" i="9"/>
  <c r="S449" i="9"/>
  <c r="R449" i="9"/>
  <c r="V448" i="9"/>
  <c r="AD41" i="5" s="1"/>
  <c r="U448" i="9"/>
  <c r="T448" i="9"/>
  <c r="AB41" i="5" s="1"/>
  <c r="S448" i="9"/>
  <c r="AA41" i="5" s="1"/>
  <c r="R448" i="9"/>
  <c r="Z41" i="5" s="1"/>
  <c r="V447" i="9"/>
  <c r="U447" i="9"/>
  <c r="T447" i="9"/>
  <c r="S447" i="9"/>
  <c r="R447" i="9"/>
  <c r="V446" i="9"/>
  <c r="U446" i="9"/>
  <c r="T446" i="9"/>
  <c r="S446" i="9"/>
  <c r="R446" i="9"/>
  <c r="V445" i="9"/>
  <c r="U445" i="9"/>
  <c r="T445" i="9"/>
  <c r="S445" i="9"/>
  <c r="R445" i="9"/>
  <c r="V444" i="9"/>
  <c r="U444" i="9"/>
  <c r="T444" i="9"/>
  <c r="S444" i="9"/>
  <c r="R444" i="9"/>
  <c r="V443" i="9"/>
  <c r="U443" i="9"/>
  <c r="T443" i="9"/>
  <c r="S443" i="9"/>
  <c r="R443" i="9"/>
  <c r="V442" i="9"/>
  <c r="U442" i="9"/>
  <c r="T442" i="9"/>
  <c r="S442" i="9"/>
  <c r="R442" i="9"/>
  <c r="V441" i="9"/>
  <c r="U441" i="9"/>
  <c r="T441" i="9"/>
  <c r="S441" i="9"/>
  <c r="R441" i="9"/>
  <c r="V440" i="9"/>
  <c r="U440" i="9"/>
  <c r="T440" i="9"/>
  <c r="S440" i="9"/>
  <c r="R440" i="9"/>
  <c r="V439" i="9"/>
  <c r="U439" i="9"/>
  <c r="T439" i="9"/>
  <c r="S439" i="9"/>
  <c r="R439" i="9"/>
  <c r="V438" i="9"/>
  <c r="AD142" i="5" s="1"/>
  <c r="U438" i="9"/>
  <c r="AC142" i="5" s="1"/>
  <c r="T438" i="9"/>
  <c r="AB142" i="5" s="1"/>
  <c r="S438" i="9"/>
  <c r="AA142" i="5" s="1"/>
  <c r="R438" i="9"/>
  <c r="Z142" i="5" s="1"/>
  <c r="V437" i="9"/>
  <c r="U437" i="9"/>
  <c r="T437" i="9"/>
  <c r="S437" i="9"/>
  <c r="R437" i="9"/>
  <c r="V436" i="9"/>
  <c r="U436" i="9"/>
  <c r="T436" i="9"/>
  <c r="S436" i="9"/>
  <c r="R436" i="9"/>
  <c r="V435" i="9"/>
  <c r="U435" i="9"/>
  <c r="T435" i="9"/>
  <c r="S435" i="9"/>
  <c r="R435" i="9"/>
  <c r="V434" i="9"/>
  <c r="U434" i="9"/>
  <c r="T434" i="9"/>
  <c r="S434" i="9"/>
  <c r="R434" i="9"/>
  <c r="V433" i="9"/>
  <c r="U433" i="9"/>
  <c r="T433" i="9"/>
  <c r="S433" i="9"/>
  <c r="R433" i="9"/>
  <c r="V432" i="9"/>
  <c r="U432" i="9"/>
  <c r="T432" i="9"/>
  <c r="S432" i="9"/>
  <c r="R432" i="9"/>
  <c r="V431" i="9"/>
  <c r="U431" i="9"/>
  <c r="T431" i="9"/>
  <c r="S431" i="9"/>
  <c r="R431" i="9"/>
  <c r="V430" i="9"/>
  <c r="U430" i="9"/>
  <c r="T430" i="9"/>
  <c r="S430" i="9"/>
  <c r="R430" i="9"/>
  <c r="V429" i="9"/>
  <c r="U429" i="9"/>
  <c r="T429" i="9"/>
  <c r="S429" i="9"/>
  <c r="R429" i="9"/>
  <c r="V428" i="9"/>
  <c r="U428" i="9"/>
  <c r="T428" i="9"/>
  <c r="S428" i="9"/>
  <c r="R428" i="9"/>
  <c r="V427" i="9"/>
  <c r="U427" i="9"/>
  <c r="T427" i="9"/>
  <c r="S427" i="9"/>
  <c r="R427" i="9"/>
  <c r="V426" i="9"/>
  <c r="U426" i="9"/>
  <c r="T426" i="9"/>
  <c r="S426" i="9"/>
  <c r="R426" i="9"/>
  <c r="V425" i="9"/>
  <c r="U425" i="9"/>
  <c r="T425" i="9"/>
  <c r="S425" i="9"/>
  <c r="R425" i="9"/>
  <c r="V424" i="9"/>
  <c r="U424" i="9"/>
  <c r="T424" i="9"/>
  <c r="S424" i="9"/>
  <c r="R424" i="9"/>
  <c r="V423" i="9"/>
  <c r="U423" i="9"/>
  <c r="T423" i="9"/>
  <c r="S423" i="9"/>
  <c r="R423" i="9"/>
  <c r="V422" i="9"/>
  <c r="U422" i="9"/>
  <c r="T422" i="9"/>
  <c r="S422" i="9"/>
  <c r="R422" i="9"/>
  <c r="V421" i="9"/>
  <c r="U421" i="9"/>
  <c r="T421" i="9"/>
  <c r="S421" i="9"/>
  <c r="R421" i="9"/>
  <c r="V420" i="9"/>
  <c r="U420" i="9"/>
  <c r="T420" i="9"/>
  <c r="S420" i="9"/>
  <c r="R420" i="9"/>
  <c r="V419" i="9"/>
  <c r="U419" i="9"/>
  <c r="T419" i="9"/>
  <c r="S419" i="9"/>
  <c r="R419" i="9"/>
  <c r="V418" i="9"/>
  <c r="U418" i="9"/>
  <c r="T418" i="9"/>
  <c r="S418" i="9"/>
  <c r="R418" i="9"/>
  <c r="V417" i="9"/>
  <c r="U417" i="9"/>
  <c r="T417" i="9"/>
  <c r="S417" i="9"/>
  <c r="R417" i="9"/>
  <c r="V416" i="9"/>
  <c r="U416" i="9"/>
  <c r="T416" i="9"/>
  <c r="S416" i="9"/>
  <c r="R416" i="9"/>
  <c r="V415" i="9"/>
  <c r="U415" i="9"/>
  <c r="T415" i="9"/>
  <c r="S415" i="9"/>
  <c r="R415" i="9"/>
  <c r="V414" i="9"/>
  <c r="U414" i="9"/>
  <c r="T414" i="9"/>
  <c r="S414" i="9"/>
  <c r="R414" i="9"/>
  <c r="V413" i="9"/>
  <c r="U413" i="9"/>
  <c r="T413" i="9"/>
  <c r="S413" i="9"/>
  <c r="R413" i="9"/>
  <c r="V412" i="9"/>
  <c r="AD136" i="5" s="1"/>
  <c r="U412" i="9"/>
  <c r="AC136" i="5" s="1"/>
  <c r="T412" i="9"/>
  <c r="AB136" i="5" s="1"/>
  <c r="S412" i="9"/>
  <c r="AA136" i="5" s="1"/>
  <c r="R412" i="9"/>
  <c r="Z136" i="5" s="1"/>
  <c r="V411" i="9"/>
  <c r="U411" i="9"/>
  <c r="T411" i="9"/>
  <c r="S411" i="9"/>
  <c r="AA105" i="5" s="1"/>
  <c r="R411" i="9"/>
  <c r="V410" i="9"/>
  <c r="U410" i="9"/>
  <c r="T410" i="9"/>
  <c r="S410" i="9"/>
  <c r="R410" i="9"/>
  <c r="V409" i="9"/>
  <c r="U409" i="9"/>
  <c r="T409" i="9"/>
  <c r="S409" i="9"/>
  <c r="R409" i="9"/>
  <c r="V408" i="9"/>
  <c r="U408" i="9"/>
  <c r="T408" i="9"/>
  <c r="S408" i="9"/>
  <c r="R408" i="9"/>
  <c r="V407" i="9"/>
  <c r="U407" i="9"/>
  <c r="T407" i="9"/>
  <c r="S407" i="9"/>
  <c r="R407" i="9"/>
  <c r="V406" i="9"/>
  <c r="U406" i="9"/>
  <c r="T406" i="9"/>
  <c r="S406" i="9"/>
  <c r="R406" i="9"/>
  <c r="V405" i="9"/>
  <c r="U405" i="9"/>
  <c r="T405" i="9"/>
  <c r="S405" i="9"/>
  <c r="R405" i="9"/>
  <c r="V404" i="9"/>
  <c r="U404" i="9"/>
  <c r="T404" i="9"/>
  <c r="S404" i="9"/>
  <c r="R404" i="9"/>
  <c r="V403" i="9"/>
  <c r="U403" i="9"/>
  <c r="T403" i="9"/>
  <c r="S403" i="9"/>
  <c r="R403" i="9"/>
  <c r="V402" i="9"/>
  <c r="U402" i="9"/>
  <c r="T402" i="9"/>
  <c r="S402" i="9"/>
  <c r="R402" i="9"/>
  <c r="V401" i="9"/>
  <c r="U401" i="9"/>
  <c r="T401" i="9"/>
  <c r="S401" i="9"/>
  <c r="R401" i="9"/>
  <c r="V400" i="9"/>
  <c r="U400" i="9"/>
  <c r="T400" i="9"/>
  <c r="S400" i="9"/>
  <c r="R400" i="9"/>
  <c r="V399" i="9"/>
  <c r="U399" i="9"/>
  <c r="T399" i="9"/>
  <c r="S399" i="9"/>
  <c r="R399" i="9"/>
  <c r="V398" i="9"/>
  <c r="U398" i="9"/>
  <c r="T398" i="9"/>
  <c r="S398" i="9"/>
  <c r="R398" i="9"/>
  <c r="V397" i="9"/>
  <c r="U397" i="9"/>
  <c r="T397" i="9"/>
  <c r="S397" i="9"/>
  <c r="R397" i="9"/>
  <c r="V396" i="9"/>
  <c r="U396" i="9"/>
  <c r="T396" i="9"/>
  <c r="S396" i="9"/>
  <c r="R396" i="9"/>
  <c r="V395" i="9"/>
  <c r="U395" i="9"/>
  <c r="T395" i="9"/>
  <c r="S395" i="9"/>
  <c r="R395" i="9"/>
  <c r="V394" i="9"/>
  <c r="U394" i="9"/>
  <c r="T394" i="9"/>
  <c r="S394" i="9"/>
  <c r="R394" i="9"/>
  <c r="V393" i="9"/>
  <c r="U393" i="9"/>
  <c r="T393" i="9"/>
  <c r="S393" i="9"/>
  <c r="R393" i="9"/>
  <c r="V392" i="9"/>
  <c r="U392" i="9"/>
  <c r="T392" i="9"/>
  <c r="S392" i="9"/>
  <c r="R392" i="9"/>
  <c r="V391" i="9"/>
  <c r="U391" i="9"/>
  <c r="T391" i="9"/>
  <c r="S391" i="9"/>
  <c r="R391" i="9"/>
  <c r="V390" i="9"/>
  <c r="U390" i="9"/>
  <c r="T390" i="9"/>
  <c r="S390" i="9"/>
  <c r="R390" i="9"/>
  <c r="V389" i="9"/>
  <c r="U389" i="9"/>
  <c r="T389" i="9"/>
  <c r="S389" i="9"/>
  <c r="R389" i="9"/>
  <c r="V380" i="9"/>
  <c r="U380" i="9"/>
  <c r="T380" i="9"/>
  <c r="S380" i="9"/>
  <c r="R380" i="9"/>
  <c r="V379" i="9"/>
  <c r="U379" i="9"/>
  <c r="T379" i="9"/>
  <c r="S379" i="9"/>
  <c r="R379" i="9"/>
  <c r="V378" i="9"/>
  <c r="U378" i="9"/>
  <c r="T378" i="9"/>
  <c r="S378" i="9"/>
  <c r="R378" i="9"/>
  <c r="V377" i="9"/>
  <c r="U377" i="9"/>
  <c r="T377" i="9"/>
  <c r="S377" i="9"/>
  <c r="R377" i="9"/>
  <c r="V376" i="9"/>
  <c r="U376" i="9"/>
  <c r="T376" i="9"/>
  <c r="S376" i="9"/>
  <c r="R376" i="9"/>
  <c r="V375" i="9"/>
  <c r="U375" i="9"/>
  <c r="T375" i="9"/>
  <c r="S375" i="9"/>
  <c r="R375" i="9"/>
  <c r="V373" i="9"/>
  <c r="U373" i="9"/>
  <c r="T373" i="9"/>
  <c r="S373" i="9"/>
  <c r="R373" i="9"/>
  <c r="V372" i="9"/>
  <c r="U372" i="9"/>
  <c r="T372" i="9"/>
  <c r="S372" i="9"/>
  <c r="R372" i="9"/>
  <c r="V371" i="9"/>
  <c r="U371" i="9"/>
  <c r="T371" i="9"/>
  <c r="S371" i="9"/>
  <c r="R371" i="9"/>
  <c r="V370" i="9"/>
  <c r="U370" i="9"/>
  <c r="T370" i="9"/>
  <c r="S370" i="9"/>
  <c r="R370" i="9"/>
  <c r="V369" i="9"/>
  <c r="U369" i="9"/>
  <c r="T369" i="9"/>
  <c r="S369" i="9"/>
  <c r="R369" i="9"/>
  <c r="V368" i="9"/>
  <c r="U368" i="9"/>
  <c r="T368" i="9"/>
  <c r="S368" i="9"/>
  <c r="R368" i="9"/>
  <c r="V367" i="9"/>
  <c r="U367" i="9"/>
  <c r="T367" i="9"/>
  <c r="S367" i="9"/>
  <c r="R367" i="9"/>
  <c r="V366" i="9"/>
  <c r="U366" i="9"/>
  <c r="T366" i="9"/>
  <c r="S366" i="9"/>
  <c r="R366" i="9"/>
  <c r="V365" i="9"/>
  <c r="U365" i="9"/>
  <c r="T365" i="9"/>
  <c r="S365" i="9"/>
  <c r="R365" i="9"/>
  <c r="V364" i="9"/>
  <c r="U364" i="9"/>
  <c r="T364" i="9"/>
  <c r="S364" i="9"/>
  <c r="R364" i="9"/>
  <c r="V363" i="9"/>
  <c r="AD25" i="5" s="1"/>
  <c r="U363" i="9"/>
  <c r="AC25" i="5" s="1"/>
  <c r="T363" i="9"/>
  <c r="AB25" i="5" s="1"/>
  <c r="S363" i="9"/>
  <c r="AA25" i="5" s="1"/>
  <c r="R363" i="9"/>
  <c r="Z25" i="5" s="1"/>
  <c r="V362" i="9"/>
  <c r="U362" i="9"/>
  <c r="T362" i="9"/>
  <c r="S362" i="9"/>
  <c r="R362" i="9"/>
  <c r="V361" i="9"/>
  <c r="U361" i="9"/>
  <c r="T361" i="9"/>
  <c r="S361" i="9"/>
  <c r="R361" i="9"/>
  <c r="V360" i="9"/>
  <c r="U360" i="9"/>
  <c r="T360" i="9"/>
  <c r="S360" i="9"/>
  <c r="R360" i="9"/>
  <c r="V359" i="9"/>
  <c r="U359" i="9"/>
  <c r="T359" i="9"/>
  <c r="S359" i="9"/>
  <c r="R359" i="9"/>
  <c r="V358" i="9"/>
  <c r="U358" i="9"/>
  <c r="T358" i="9"/>
  <c r="S358" i="9"/>
  <c r="R358" i="9"/>
  <c r="V357" i="9"/>
  <c r="U357" i="9"/>
  <c r="T357" i="9"/>
  <c r="S357" i="9"/>
  <c r="R357" i="9"/>
  <c r="V356" i="9"/>
  <c r="AD143" i="5" s="1"/>
  <c r="U356" i="9"/>
  <c r="AC143" i="5" s="1"/>
  <c r="T356" i="9"/>
  <c r="AB143" i="5" s="1"/>
  <c r="S356" i="9"/>
  <c r="AA143" i="5" s="1"/>
  <c r="R356" i="9"/>
  <c r="Z143" i="5" s="1"/>
  <c r="V355" i="9"/>
  <c r="U355" i="9"/>
  <c r="T355" i="9"/>
  <c r="S355" i="9"/>
  <c r="R355" i="9"/>
  <c r="V354" i="9"/>
  <c r="U354" i="9"/>
  <c r="T354" i="9"/>
  <c r="S354" i="9"/>
  <c r="R354" i="9"/>
  <c r="V353" i="9"/>
  <c r="U353" i="9"/>
  <c r="T353" i="9"/>
  <c r="S353" i="9"/>
  <c r="R353" i="9"/>
  <c r="V352" i="9"/>
  <c r="U352" i="9"/>
  <c r="T352" i="9"/>
  <c r="S352" i="9"/>
  <c r="R352" i="9"/>
  <c r="V351" i="9"/>
  <c r="U351" i="9"/>
  <c r="T351" i="9"/>
  <c r="S351" i="9"/>
  <c r="R351" i="9"/>
  <c r="V350" i="9"/>
  <c r="U350" i="9"/>
  <c r="T350" i="9"/>
  <c r="S350" i="9"/>
  <c r="R350" i="9"/>
  <c r="V349" i="9"/>
  <c r="U349" i="9"/>
  <c r="T349" i="9"/>
  <c r="S349" i="9"/>
  <c r="R349" i="9"/>
  <c r="V348" i="9"/>
  <c r="U348" i="9"/>
  <c r="T348" i="9"/>
  <c r="S348" i="9"/>
  <c r="R348" i="9"/>
  <c r="V347" i="9"/>
  <c r="U347" i="9"/>
  <c r="T347" i="9"/>
  <c r="S347" i="9"/>
  <c r="R347" i="9"/>
  <c r="V346" i="9"/>
  <c r="U346" i="9"/>
  <c r="T346" i="9"/>
  <c r="S346" i="9"/>
  <c r="R346" i="9"/>
  <c r="V345" i="9"/>
  <c r="AD109" i="5" s="1"/>
  <c r="U345" i="9"/>
  <c r="AC109" i="5" s="1"/>
  <c r="T345" i="9"/>
  <c r="AB109" i="5" s="1"/>
  <c r="S345" i="9"/>
  <c r="AA109" i="5" s="1"/>
  <c r="R345" i="9"/>
  <c r="Z109" i="5" s="1"/>
  <c r="V344" i="9"/>
  <c r="AD71" i="5" s="1"/>
  <c r="U344" i="9"/>
  <c r="AC71" i="5" s="1"/>
  <c r="T344" i="9"/>
  <c r="AB71" i="5" s="1"/>
  <c r="S344" i="9"/>
  <c r="AA71" i="5" s="1"/>
  <c r="R344" i="9"/>
  <c r="Z71" i="5" s="1"/>
  <c r="V343" i="9"/>
  <c r="U343" i="9"/>
  <c r="T343" i="9"/>
  <c r="S343" i="9"/>
  <c r="R343" i="9"/>
  <c r="V342" i="9"/>
  <c r="U342" i="9"/>
  <c r="T342" i="9"/>
  <c r="S342" i="9"/>
  <c r="R342" i="9"/>
  <c r="V341" i="9"/>
  <c r="U341" i="9"/>
  <c r="T341" i="9"/>
  <c r="S341" i="9"/>
  <c r="R341" i="9"/>
  <c r="V340" i="9"/>
  <c r="U340" i="9"/>
  <c r="T340" i="9"/>
  <c r="S340" i="9"/>
  <c r="R340" i="9"/>
  <c r="V339" i="9"/>
  <c r="U339" i="9"/>
  <c r="T339" i="9"/>
  <c r="S339" i="9"/>
  <c r="R339" i="9"/>
  <c r="V338" i="9"/>
  <c r="U338" i="9"/>
  <c r="T338" i="9"/>
  <c r="S338" i="9"/>
  <c r="R338" i="9"/>
  <c r="V337" i="9"/>
  <c r="U337" i="9"/>
  <c r="T337" i="9"/>
  <c r="S337" i="9"/>
  <c r="R337" i="9"/>
  <c r="V336" i="9"/>
  <c r="U336" i="9"/>
  <c r="T336" i="9"/>
  <c r="S336" i="9"/>
  <c r="R336" i="9"/>
  <c r="V335" i="9"/>
  <c r="U335" i="9"/>
  <c r="T335" i="9"/>
  <c r="S335" i="9"/>
  <c r="R335" i="9"/>
  <c r="V334" i="9"/>
  <c r="U334" i="9"/>
  <c r="T334" i="9"/>
  <c r="S334" i="9"/>
  <c r="R334" i="9"/>
  <c r="V333" i="9"/>
  <c r="U333" i="9"/>
  <c r="T333" i="9"/>
  <c r="S333" i="9"/>
  <c r="R333" i="9"/>
  <c r="V332" i="9"/>
  <c r="U332" i="9"/>
  <c r="T332" i="9"/>
  <c r="S332" i="9"/>
  <c r="R332" i="9"/>
  <c r="V331" i="9"/>
  <c r="U331" i="9"/>
  <c r="T331" i="9"/>
  <c r="S331" i="9"/>
  <c r="R331" i="9"/>
  <c r="V330" i="9"/>
  <c r="U330" i="9"/>
  <c r="T330" i="9"/>
  <c r="S330" i="9"/>
  <c r="R330" i="9"/>
  <c r="V329" i="9"/>
  <c r="U329" i="9"/>
  <c r="T329" i="9"/>
  <c r="S329" i="9"/>
  <c r="R329" i="9"/>
  <c r="V328" i="9"/>
  <c r="U328" i="9"/>
  <c r="T328" i="9"/>
  <c r="S328" i="9"/>
  <c r="R328" i="9"/>
  <c r="V327" i="9"/>
  <c r="U327" i="9"/>
  <c r="T327" i="9"/>
  <c r="S327" i="9"/>
  <c r="R327" i="9"/>
  <c r="V326" i="9"/>
  <c r="U326" i="9"/>
  <c r="T326" i="9"/>
  <c r="S326" i="9"/>
  <c r="R326" i="9"/>
  <c r="V325" i="9"/>
  <c r="U325" i="9"/>
  <c r="T325" i="9"/>
  <c r="S325" i="9"/>
  <c r="R325" i="9"/>
  <c r="V324" i="9"/>
  <c r="U324" i="9"/>
  <c r="T324" i="9"/>
  <c r="S324" i="9"/>
  <c r="R324" i="9"/>
  <c r="V323" i="9"/>
  <c r="U323" i="9"/>
  <c r="T323" i="9"/>
  <c r="S323" i="9"/>
  <c r="R323" i="9"/>
  <c r="V322" i="9"/>
  <c r="U322" i="9"/>
  <c r="T322" i="9"/>
  <c r="S322" i="9"/>
  <c r="R322" i="9"/>
  <c r="V321" i="9"/>
  <c r="U321" i="9"/>
  <c r="T321" i="9"/>
  <c r="S321" i="9"/>
  <c r="R321" i="9"/>
  <c r="V320" i="9"/>
  <c r="U320" i="9"/>
  <c r="T320" i="9"/>
  <c r="S320" i="9"/>
  <c r="R320" i="9"/>
  <c r="V319" i="9"/>
  <c r="U319" i="9"/>
  <c r="T319" i="9"/>
  <c r="S319" i="9"/>
  <c r="R319" i="9"/>
  <c r="V318" i="9"/>
  <c r="U318" i="9"/>
  <c r="T318" i="9"/>
  <c r="S318" i="9"/>
  <c r="R318" i="9"/>
  <c r="V317" i="9"/>
  <c r="U317" i="9"/>
  <c r="T317" i="9"/>
  <c r="S317" i="9"/>
  <c r="R317" i="9"/>
  <c r="V316" i="9"/>
  <c r="U316" i="9"/>
  <c r="T316" i="9"/>
  <c r="S316" i="9"/>
  <c r="R316" i="9"/>
  <c r="V315" i="9"/>
  <c r="U315" i="9"/>
  <c r="T315" i="9"/>
  <c r="S315" i="9"/>
  <c r="R315" i="9"/>
  <c r="V314" i="9"/>
  <c r="U314" i="9"/>
  <c r="T314" i="9"/>
  <c r="S314" i="9"/>
  <c r="R314" i="9"/>
  <c r="V313" i="9"/>
  <c r="U313" i="9"/>
  <c r="T313" i="9"/>
  <c r="S313" i="9"/>
  <c r="R313" i="9"/>
  <c r="V312" i="9"/>
  <c r="AD10" i="5" s="1"/>
  <c r="U312" i="9"/>
  <c r="AC10" i="5" s="1"/>
  <c r="T312" i="9"/>
  <c r="AB10" i="5" s="1"/>
  <c r="S312" i="9"/>
  <c r="AA10" i="5" s="1"/>
  <c r="R312" i="9"/>
  <c r="Z10" i="5" s="1"/>
  <c r="V311" i="9"/>
  <c r="U311" i="9"/>
  <c r="T311" i="9"/>
  <c r="S311" i="9"/>
  <c r="R311" i="9"/>
  <c r="V310" i="9"/>
  <c r="U310" i="9"/>
  <c r="T310" i="9"/>
  <c r="S310" i="9"/>
  <c r="R310" i="9"/>
  <c r="V309" i="9"/>
  <c r="U309" i="9"/>
  <c r="T309" i="9"/>
  <c r="S309" i="9"/>
  <c r="R309" i="9"/>
  <c r="V308" i="9"/>
  <c r="U308" i="9"/>
  <c r="T308" i="9"/>
  <c r="S308" i="9"/>
  <c r="R308" i="9"/>
  <c r="V307" i="9"/>
  <c r="U307" i="9"/>
  <c r="T307" i="9"/>
  <c r="S307" i="9"/>
  <c r="R307" i="9"/>
  <c r="V306" i="9"/>
  <c r="U306" i="9"/>
  <c r="T306" i="9"/>
  <c r="S306" i="9"/>
  <c r="R306" i="9"/>
  <c r="V305" i="9"/>
  <c r="U305" i="9"/>
  <c r="T305" i="9"/>
  <c r="S305" i="9"/>
  <c r="R305" i="9"/>
  <c r="V304" i="9"/>
  <c r="U304" i="9"/>
  <c r="T304" i="9"/>
  <c r="S304" i="9"/>
  <c r="R304" i="9"/>
  <c r="V303" i="9"/>
  <c r="U303" i="9"/>
  <c r="T303" i="9"/>
  <c r="S303" i="9"/>
  <c r="R303" i="9"/>
  <c r="V302" i="9"/>
  <c r="U302" i="9"/>
  <c r="T302" i="9"/>
  <c r="S302" i="9"/>
  <c r="R302" i="9"/>
  <c r="V301" i="9"/>
  <c r="U301" i="9"/>
  <c r="T301" i="9"/>
  <c r="S301" i="9"/>
  <c r="R301" i="9"/>
  <c r="V300" i="9"/>
  <c r="U300" i="9"/>
  <c r="T300" i="9"/>
  <c r="S300" i="9"/>
  <c r="R300" i="9"/>
  <c r="V299" i="9"/>
  <c r="U299" i="9"/>
  <c r="T299" i="9"/>
  <c r="S299" i="9"/>
  <c r="R299" i="9"/>
  <c r="V298" i="9"/>
  <c r="U298" i="9"/>
  <c r="T298" i="9"/>
  <c r="S298" i="9"/>
  <c r="R298" i="9"/>
  <c r="V297" i="9"/>
  <c r="U297" i="9"/>
  <c r="T297" i="9"/>
  <c r="S297" i="9"/>
  <c r="R297" i="9"/>
  <c r="V296" i="9"/>
  <c r="U296" i="9"/>
  <c r="T296" i="9"/>
  <c r="S296" i="9"/>
  <c r="R296" i="9"/>
  <c r="V295" i="9"/>
  <c r="AD69" i="5" s="1"/>
  <c r="U295" i="9"/>
  <c r="AC69" i="5" s="1"/>
  <c r="T295" i="9"/>
  <c r="AB69" i="5" s="1"/>
  <c r="S295" i="9"/>
  <c r="AA69" i="5" s="1"/>
  <c r="R295" i="9"/>
  <c r="Z69" i="5" s="1"/>
  <c r="V294" i="9"/>
  <c r="U294" i="9"/>
  <c r="T294" i="9"/>
  <c r="S294" i="9"/>
  <c r="R294" i="9"/>
  <c r="V293" i="9"/>
  <c r="U293" i="9"/>
  <c r="T293" i="9"/>
  <c r="S293" i="9"/>
  <c r="R293" i="9"/>
  <c r="V292" i="9"/>
  <c r="U292" i="9"/>
  <c r="T292" i="9"/>
  <c r="S292" i="9"/>
  <c r="R292" i="9"/>
  <c r="V291" i="9"/>
  <c r="U291" i="9"/>
  <c r="T291" i="9"/>
  <c r="S291" i="9"/>
  <c r="R291" i="9"/>
  <c r="V290" i="9"/>
  <c r="U290" i="9"/>
  <c r="T290" i="9"/>
  <c r="S290" i="9"/>
  <c r="R290" i="9"/>
  <c r="V289" i="9"/>
  <c r="U289" i="9"/>
  <c r="T289" i="9"/>
  <c r="S289" i="9"/>
  <c r="R289" i="9"/>
  <c r="V288" i="9"/>
  <c r="U288" i="9"/>
  <c r="T288" i="9"/>
  <c r="S288" i="9"/>
  <c r="R288" i="9"/>
  <c r="V287" i="9"/>
  <c r="U287" i="9"/>
  <c r="T287" i="9"/>
  <c r="S287" i="9"/>
  <c r="R287" i="9"/>
  <c r="V286" i="9"/>
  <c r="U286" i="9"/>
  <c r="T286" i="9"/>
  <c r="S286" i="9"/>
  <c r="R286" i="9"/>
  <c r="V285" i="9"/>
  <c r="U285" i="9"/>
  <c r="T285" i="9"/>
  <c r="S285" i="9"/>
  <c r="R285" i="9"/>
  <c r="V284" i="9"/>
  <c r="U284" i="9"/>
  <c r="T284" i="9"/>
  <c r="S284" i="9"/>
  <c r="R284" i="9"/>
  <c r="V283" i="9"/>
  <c r="U283" i="9"/>
  <c r="T283" i="9"/>
  <c r="S283" i="9"/>
  <c r="R283" i="9"/>
  <c r="V282" i="9"/>
  <c r="U282" i="9"/>
  <c r="T282" i="9"/>
  <c r="S282" i="9"/>
  <c r="R282" i="9"/>
  <c r="V281" i="9"/>
  <c r="U281" i="9"/>
  <c r="T281" i="9"/>
  <c r="S281" i="9"/>
  <c r="R281" i="9"/>
  <c r="V280" i="9"/>
  <c r="U280" i="9"/>
  <c r="T280" i="9"/>
  <c r="S280" i="9"/>
  <c r="R280" i="9"/>
  <c r="V279" i="9"/>
  <c r="U279" i="9"/>
  <c r="T279" i="9"/>
  <c r="S279" i="9"/>
  <c r="R279" i="9"/>
  <c r="V278" i="9"/>
  <c r="U278" i="9"/>
  <c r="T278" i="9"/>
  <c r="S278" i="9"/>
  <c r="R278" i="9"/>
  <c r="V277" i="9"/>
  <c r="U277" i="9"/>
  <c r="T277" i="9"/>
  <c r="S277" i="9"/>
  <c r="R277" i="9"/>
  <c r="V276" i="9"/>
  <c r="AD9" i="5" s="1"/>
  <c r="U276" i="9"/>
  <c r="AC9" i="5" s="1"/>
  <c r="T276" i="9"/>
  <c r="S276" i="9"/>
  <c r="AA9" i="5" s="1"/>
  <c r="R276" i="9"/>
  <c r="V275" i="9"/>
  <c r="U275" i="9"/>
  <c r="T275" i="9"/>
  <c r="S275" i="9"/>
  <c r="R275" i="9"/>
  <c r="V274" i="9"/>
  <c r="U274" i="9"/>
  <c r="T274" i="9"/>
  <c r="S274" i="9"/>
  <c r="R274" i="9"/>
  <c r="V273" i="9"/>
  <c r="U273" i="9"/>
  <c r="T273" i="9"/>
  <c r="S273" i="9"/>
  <c r="R273" i="9"/>
  <c r="V272" i="9"/>
  <c r="U272" i="9"/>
  <c r="T272" i="9"/>
  <c r="S272" i="9"/>
  <c r="R272" i="9"/>
  <c r="V271" i="9"/>
  <c r="U271" i="9"/>
  <c r="T271" i="9"/>
  <c r="S271" i="9"/>
  <c r="R271" i="9"/>
  <c r="V270" i="9"/>
  <c r="U270" i="9"/>
  <c r="T270" i="9"/>
  <c r="S270" i="9"/>
  <c r="R270" i="9"/>
  <c r="V269" i="9"/>
  <c r="U269" i="9"/>
  <c r="T269" i="9"/>
  <c r="S269" i="9"/>
  <c r="R269" i="9"/>
  <c r="V268" i="9"/>
  <c r="U268" i="9"/>
  <c r="T268" i="9"/>
  <c r="S268" i="9"/>
  <c r="R268" i="9"/>
  <c r="V267" i="9"/>
  <c r="U267" i="9"/>
  <c r="T267" i="9"/>
  <c r="S267" i="9"/>
  <c r="R267" i="9"/>
  <c r="V266" i="9"/>
  <c r="U266" i="9"/>
  <c r="T266" i="9"/>
  <c r="S266" i="9"/>
  <c r="R266" i="9"/>
  <c r="V265" i="9"/>
  <c r="U265" i="9"/>
  <c r="T265" i="9"/>
  <c r="S265" i="9"/>
  <c r="R265" i="9"/>
  <c r="V264" i="9"/>
  <c r="U264" i="9"/>
  <c r="T264" i="9"/>
  <c r="S264" i="9"/>
  <c r="R264" i="9"/>
  <c r="V263" i="9"/>
  <c r="U263" i="9"/>
  <c r="T263" i="9"/>
  <c r="S263" i="9"/>
  <c r="R263" i="9"/>
  <c r="V262" i="9"/>
  <c r="U262" i="9"/>
  <c r="T262" i="9"/>
  <c r="S262" i="9"/>
  <c r="R262" i="9"/>
  <c r="V261" i="9"/>
  <c r="U261" i="9"/>
  <c r="T261" i="9"/>
  <c r="S261" i="9"/>
  <c r="R261" i="9"/>
  <c r="V260" i="9"/>
  <c r="U260" i="9"/>
  <c r="T260" i="9"/>
  <c r="S260" i="9"/>
  <c r="R260" i="9"/>
  <c r="V259" i="9"/>
  <c r="U259" i="9"/>
  <c r="T259" i="9"/>
  <c r="S259" i="9"/>
  <c r="R259" i="9"/>
  <c r="V258" i="9"/>
  <c r="U258" i="9"/>
  <c r="T258" i="9"/>
  <c r="S258" i="9"/>
  <c r="R258" i="9"/>
  <c r="V257" i="9"/>
  <c r="U257" i="9"/>
  <c r="T257" i="9"/>
  <c r="S257" i="9"/>
  <c r="R257" i="9"/>
  <c r="V256" i="9"/>
  <c r="U256" i="9"/>
  <c r="T256" i="9"/>
  <c r="S256" i="9"/>
  <c r="R256" i="9"/>
  <c r="V255" i="9"/>
  <c r="U255" i="9"/>
  <c r="T255" i="9"/>
  <c r="S255" i="9"/>
  <c r="R255" i="9"/>
  <c r="V254" i="9"/>
  <c r="U254" i="9"/>
  <c r="T254" i="9"/>
  <c r="S254" i="9"/>
  <c r="R254" i="9"/>
  <c r="V253" i="9"/>
  <c r="U253" i="9"/>
  <c r="T253" i="9"/>
  <c r="S253" i="9"/>
  <c r="R253" i="9"/>
  <c r="V252" i="9"/>
  <c r="U252" i="9"/>
  <c r="T252" i="9"/>
  <c r="S252" i="9"/>
  <c r="R252" i="9"/>
  <c r="V251" i="9"/>
  <c r="U251" i="9"/>
  <c r="T251" i="9"/>
  <c r="S251" i="9"/>
  <c r="R251" i="9"/>
  <c r="V250" i="9"/>
  <c r="U250" i="9"/>
  <c r="T250" i="9"/>
  <c r="S250" i="9"/>
  <c r="R250" i="9"/>
  <c r="V249" i="9"/>
  <c r="U249" i="9"/>
  <c r="T249" i="9"/>
  <c r="S249" i="9"/>
  <c r="R249" i="9"/>
  <c r="V248" i="9"/>
  <c r="U248" i="9"/>
  <c r="T248" i="9"/>
  <c r="S248" i="9"/>
  <c r="R248" i="9"/>
  <c r="V247" i="9"/>
  <c r="U247" i="9"/>
  <c r="T247" i="9"/>
  <c r="S247" i="9"/>
  <c r="R247" i="9"/>
  <c r="V246" i="9"/>
  <c r="U246" i="9"/>
  <c r="T246" i="9"/>
  <c r="S246" i="9"/>
  <c r="R246" i="9"/>
  <c r="V245" i="9"/>
  <c r="U245" i="9"/>
  <c r="T245" i="9"/>
  <c r="S245" i="9"/>
  <c r="R245" i="9"/>
  <c r="V244" i="9"/>
  <c r="U244" i="9"/>
  <c r="T244" i="9"/>
  <c r="S244" i="9"/>
  <c r="R244" i="9"/>
  <c r="V243" i="9"/>
  <c r="U243" i="9"/>
  <c r="T243" i="9"/>
  <c r="S243" i="9"/>
  <c r="R243" i="9"/>
  <c r="V242" i="9"/>
  <c r="U242" i="9"/>
  <c r="T242" i="9"/>
  <c r="S242" i="9"/>
  <c r="R242" i="9"/>
  <c r="V241" i="9"/>
  <c r="U241" i="9"/>
  <c r="T241" i="9"/>
  <c r="S241" i="9"/>
  <c r="R241" i="9"/>
  <c r="V240" i="9"/>
  <c r="U240" i="9"/>
  <c r="T240" i="9"/>
  <c r="S240" i="9"/>
  <c r="R240" i="9"/>
  <c r="V239" i="9"/>
  <c r="U239" i="9"/>
  <c r="T239" i="9"/>
  <c r="S239" i="9"/>
  <c r="R239" i="9"/>
  <c r="V238" i="9"/>
  <c r="U238" i="9"/>
  <c r="T238" i="9"/>
  <c r="S238" i="9"/>
  <c r="R238" i="9"/>
  <c r="V237" i="9"/>
  <c r="U237" i="9"/>
  <c r="T237" i="9"/>
  <c r="S237" i="9"/>
  <c r="R237" i="9"/>
  <c r="V236" i="9"/>
  <c r="U236" i="9"/>
  <c r="T236" i="9"/>
  <c r="S236" i="9"/>
  <c r="R236" i="9"/>
  <c r="V235" i="9"/>
  <c r="U235" i="9"/>
  <c r="T235" i="9"/>
  <c r="S235" i="9"/>
  <c r="R235" i="9"/>
  <c r="V234" i="9"/>
  <c r="U234" i="9"/>
  <c r="T234" i="9"/>
  <c r="S234" i="9"/>
  <c r="R234" i="9"/>
  <c r="V233" i="9"/>
  <c r="U233" i="9"/>
  <c r="T233" i="9"/>
  <c r="S233" i="9"/>
  <c r="R233" i="9"/>
  <c r="V232" i="9"/>
  <c r="U232" i="9"/>
  <c r="T232" i="9"/>
  <c r="S232" i="9"/>
  <c r="R232" i="9"/>
  <c r="V231" i="9"/>
  <c r="U231" i="9"/>
  <c r="T231" i="9"/>
  <c r="S231" i="9"/>
  <c r="R231" i="9"/>
  <c r="V230" i="9"/>
  <c r="U230" i="9"/>
  <c r="T230" i="9"/>
  <c r="S230" i="9"/>
  <c r="R230" i="9"/>
  <c r="V229" i="9"/>
  <c r="U229" i="9"/>
  <c r="T229" i="9"/>
  <c r="S229" i="9"/>
  <c r="R229" i="9"/>
  <c r="V228" i="9"/>
  <c r="U228" i="9"/>
  <c r="T228" i="9"/>
  <c r="S228" i="9"/>
  <c r="R228" i="9"/>
  <c r="V227" i="9"/>
  <c r="U227" i="9"/>
  <c r="T227" i="9"/>
  <c r="S227" i="9"/>
  <c r="R227" i="9"/>
  <c r="V226" i="9"/>
  <c r="U226" i="9"/>
  <c r="T226" i="9"/>
  <c r="S226" i="9"/>
  <c r="R226" i="9"/>
  <c r="V225" i="9"/>
  <c r="U225" i="9"/>
  <c r="T225" i="9"/>
  <c r="S225" i="9"/>
  <c r="R225" i="9"/>
  <c r="V224" i="9"/>
  <c r="U224" i="9"/>
  <c r="T224" i="9"/>
  <c r="S224" i="9"/>
  <c r="R224" i="9"/>
  <c r="V223" i="9"/>
  <c r="U223" i="9"/>
  <c r="T223" i="9"/>
  <c r="S223" i="9"/>
  <c r="R223" i="9"/>
  <c r="V222" i="9"/>
  <c r="U222" i="9"/>
  <c r="T222" i="9"/>
  <c r="S222" i="9"/>
  <c r="R222" i="9"/>
  <c r="V221" i="9"/>
  <c r="U221" i="9"/>
  <c r="T221" i="9"/>
  <c r="S221" i="9"/>
  <c r="R221" i="9"/>
  <c r="V220" i="9"/>
  <c r="U220" i="9"/>
  <c r="T220" i="9"/>
  <c r="S220" i="9"/>
  <c r="R220" i="9"/>
  <c r="V219" i="9"/>
  <c r="U219" i="9"/>
  <c r="T219" i="9"/>
  <c r="S219" i="9"/>
  <c r="R219" i="9"/>
  <c r="V218" i="9"/>
  <c r="U218" i="9"/>
  <c r="T218" i="9"/>
  <c r="S218" i="9"/>
  <c r="R218" i="9"/>
  <c r="V217" i="9"/>
  <c r="U217" i="9"/>
  <c r="T217" i="9"/>
  <c r="S217" i="9"/>
  <c r="R217" i="9"/>
  <c r="V216" i="9"/>
  <c r="U216" i="9"/>
  <c r="T216" i="9"/>
  <c r="S216" i="9"/>
  <c r="R216" i="9"/>
  <c r="V215" i="9"/>
  <c r="U215" i="9"/>
  <c r="T215" i="9"/>
  <c r="S215" i="9"/>
  <c r="R215" i="9"/>
  <c r="V214" i="9"/>
  <c r="U214" i="9"/>
  <c r="T214" i="9"/>
  <c r="S214" i="9"/>
  <c r="R214" i="9"/>
  <c r="V213" i="9"/>
  <c r="U213" i="9"/>
  <c r="T213" i="9"/>
  <c r="S213" i="9"/>
  <c r="R213" i="9"/>
  <c r="V212" i="9"/>
  <c r="AD15" i="5" s="1"/>
  <c r="U212" i="9"/>
  <c r="AC15" i="5" s="1"/>
  <c r="T212" i="9"/>
  <c r="AB15" i="5" s="1"/>
  <c r="S212" i="9"/>
  <c r="R212" i="9"/>
  <c r="Z15" i="5" s="1"/>
  <c r="V211" i="9"/>
  <c r="U211" i="9"/>
  <c r="T211" i="9"/>
  <c r="S211" i="9"/>
  <c r="R211" i="9"/>
  <c r="V210" i="9"/>
  <c r="U210" i="9"/>
  <c r="T210" i="9"/>
  <c r="S210" i="9"/>
  <c r="R210" i="9"/>
  <c r="V209" i="9"/>
  <c r="U209" i="9"/>
  <c r="T209" i="9"/>
  <c r="S209" i="9"/>
  <c r="R209" i="9"/>
  <c r="V208" i="9"/>
  <c r="U208" i="9"/>
  <c r="T208" i="9"/>
  <c r="S208" i="9"/>
  <c r="R208" i="9"/>
  <c r="V207" i="9"/>
  <c r="U207" i="9"/>
  <c r="T207" i="9"/>
  <c r="S207" i="9"/>
  <c r="R207" i="9"/>
  <c r="V206" i="9"/>
  <c r="U206" i="9"/>
  <c r="T206" i="9"/>
  <c r="S206" i="9"/>
  <c r="R206" i="9"/>
  <c r="V205" i="9"/>
  <c r="U205" i="9"/>
  <c r="T205" i="9"/>
  <c r="S205" i="9"/>
  <c r="R205" i="9"/>
  <c r="V204" i="9"/>
  <c r="U204" i="9"/>
  <c r="T204" i="9"/>
  <c r="S204" i="9"/>
  <c r="R204" i="9"/>
  <c r="V203" i="9"/>
  <c r="U203" i="9"/>
  <c r="T203" i="9"/>
  <c r="S203" i="9"/>
  <c r="R203" i="9"/>
  <c r="V202" i="9"/>
  <c r="AD24" i="5" s="1"/>
  <c r="U202" i="9"/>
  <c r="AC24" i="5" s="1"/>
  <c r="T202" i="9"/>
  <c r="AB24" i="5" s="1"/>
  <c r="S202" i="9"/>
  <c r="AA24" i="5" s="1"/>
  <c r="R202" i="9"/>
  <c r="Z24" i="5" s="1"/>
  <c r="V201" i="9"/>
  <c r="AD14" i="5" s="1"/>
  <c r="U201" i="9"/>
  <c r="AC14" i="5" s="1"/>
  <c r="T201" i="9"/>
  <c r="AB14" i="5" s="1"/>
  <c r="S201" i="9"/>
  <c r="AA14" i="5" s="1"/>
  <c r="R201" i="9"/>
  <c r="Z14" i="5" s="1"/>
  <c r="V200" i="9"/>
  <c r="U200" i="9"/>
  <c r="T200" i="9"/>
  <c r="S200" i="9"/>
  <c r="R200" i="9"/>
  <c r="V199" i="9"/>
  <c r="U199" i="9"/>
  <c r="T199" i="9"/>
  <c r="S199" i="9"/>
  <c r="R199" i="9"/>
  <c r="V198" i="9"/>
  <c r="U198" i="9"/>
  <c r="T198" i="9"/>
  <c r="S198" i="9"/>
  <c r="R198" i="9"/>
  <c r="V197" i="9"/>
  <c r="U197" i="9"/>
  <c r="T197" i="9"/>
  <c r="S197" i="9"/>
  <c r="R197" i="9"/>
  <c r="V196" i="9"/>
  <c r="U196" i="9"/>
  <c r="T196" i="9"/>
  <c r="S196" i="9"/>
  <c r="R196" i="9"/>
  <c r="V195" i="9"/>
  <c r="U195" i="9"/>
  <c r="T195" i="9"/>
  <c r="S195" i="9"/>
  <c r="R195" i="9"/>
  <c r="V194" i="9"/>
  <c r="U194" i="9"/>
  <c r="T194" i="9"/>
  <c r="S194" i="9"/>
  <c r="R194" i="9"/>
  <c r="V193" i="9"/>
  <c r="U193" i="9"/>
  <c r="T193" i="9"/>
  <c r="S193" i="9"/>
  <c r="R193" i="9"/>
  <c r="V192" i="9"/>
  <c r="U192" i="9"/>
  <c r="T192" i="9"/>
  <c r="S192" i="9"/>
  <c r="R192" i="9"/>
  <c r="V191" i="9"/>
  <c r="U191" i="9"/>
  <c r="T191" i="9"/>
  <c r="S191" i="9"/>
  <c r="R191" i="9"/>
  <c r="V190" i="9"/>
  <c r="U190" i="9"/>
  <c r="T190" i="9"/>
  <c r="S190" i="9"/>
  <c r="R190" i="9"/>
  <c r="V189" i="9"/>
  <c r="U189" i="9"/>
  <c r="T189" i="9"/>
  <c r="S189" i="9"/>
  <c r="R189" i="9"/>
  <c r="V188" i="9"/>
  <c r="U188" i="9"/>
  <c r="T188" i="9"/>
  <c r="S188" i="9"/>
  <c r="R188" i="9"/>
  <c r="V187" i="9"/>
  <c r="U187" i="9"/>
  <c r="T187" i="9"/>
  <c r="S187" i="9"/>
  <c r="R187" i="9"/>
  <c r="V186" i="9"/>
  <c r="U186" i="9"/>
  <c r="T186" i="9"/>
  <c r="S186" i="9"/>
  <c r="R186" i="9"/>
  <c r="V185" i="9"/>
  <c r="U185" i="9"/>
  <c r="T185" i="9"/>
  <c r="S185" i="9"/>
  <c r="R185" i="9"/>
  <c r="V184" i="9"/>
  <c r="U184" i="9"/>
  <c r="T184" i="9"/>
  <c r="S184" i="9"/>
  <c r="R184" i="9"/>
  <c r="V183" i="9"/>
  <c r="U183" i="9"/>
  <c r="T183" i="9"/>
  <c r="S183" i="9"/>
  <c r="R183" i="9"/>
  <c r="V182" i="9"/>
  <c r="U182" i="9"/>
  <c r="T182" i="9"/>
  <c r="S182" i="9"/>
  <c r="R182" i="9"/>
  <c r="V181" i="9"/>
  <c r="U181" i="9"/>
  <c r="T181" i="9"/>
  <c r="S181" i="9"/>
  <c r="R181" i="9"/>
  <c r="V180" i="9"/>
  <c r="U180" i="9"/>
  <c r="T180" i="9"/>
  <c r="S180" i="9"/>
  <c r="R180" i="9"/>
  <c r="V179" i="9"/>
  <c r="U179" i="9"/>
  <c r="T179" i="9"/>
  <c r="S179" i="9"/>
  <c r="R179" i="9"/>
  <c r="V178" i="9"/>
  <c r="U178" i="9"/>
  <c r="T178" i="9"/>
  <c r="S178" i="9"/>
  <c r="R178" i="9"/>
  <c r="V177" i="9"/>
  <c r="U177" i="9"/>
  <c r="T177" i="9"/>
  <c r="S177" i="9"/>
  <c r="R177" i="9"/>
  <c r="V176" i="9"/>
  <c r="U176" i="9"/>
  <c r="T176" i="9"/>
  <c r="S176" i="9"/>
  <c r="R176" i="9"/>
  <c r="V175" i="9"/>
  <c r="U175" i="9"/>
  <c r="T175" i="9"/>
  <c r="S175" i="9"/>
  <c r="R175" i="9"/>
  <c r="V174" i="9"/>
  <c r="U174" i="9"/>
  <c r="T174" i="9"/>
  <c r="S174" i="9"/>
  <c r="R174" i="9"/>
  <c r="V173" i="9"/>
  <c r="U173" i="9"/>
  <c r="T173" i="9"/>
  <c r="S173" i="9"/>
  <c r="R173" i="9"/>
  <c r="V172" i="9"/>
  <c r="U172" i="9"/>
  <c r="T172" i="9"/>
  <c r="S172" i="9"/>
  <c r="R172" i="9"/>
  <c r="V171" i="9"/>
  <c r="U171" i="9"/>
  <c r="T171" i="9"/>
  <c r="S171" i="9"/>
  <c r="R171" i="9"/>
  <c r="V170" i="9"/>
  <c r="U170" i="9"/>
  <c r="T170" i="9"/>
  <c r="S170" i="9"/>
  <c r="R170" i="9"/>
  <c r="V169" i="9"/>
  <c r="U169" i="9"/>
  <c r="T169" i="9"/>
  <c r="S169" i="9"/>
  <c r="R169" i="9"/>
  <c r="V168" i="9"/>
  <c r="U168" i="9"/>
  <c r="AC12" i="5" s="1"/>
  <c r="T168" i="9"/>
  <c r="S168" i="9"/>
  <c r="AA12" i="5" s="1"/>
  <c r="R168" i="9"/>
  <c r="V167" i="9"/>
  <c r="U167" i="9"/>
  <c r="T167" i="9"/>
  <c r="S167" i="9"/>
  <c r="R167" i="9"/>
  <c r="V166" i="9"/>
  <c r="U166" i="9"/>
  <c r="T166" i="9"/>
  <c r="S166" i="9"/>
  <c r="R166" i="9"/>
  <c r="V165" i="9"/>
  <c r="U165" i="9"/>
  <c r="T165" i="9"/>
  <c r="S165" i="9"/>
  <c r="R165" i="9"/>
  <c r="V164" i="9"/>
  <c r="U164" i="9"/>
  <c r="T164" i="9"/>
  <c r="S164" i="9"/>
  <c r="R164" i="9"/>
  <c r="V163" i="9"/>
  <c r="U163" i="9"/>
  <c r="T163" i="9"/>
  <c r="S163" i="9"/>
  <c r="R163" i="9"/>
  <c r="V162" i="9"/>
  <c r="U162" i="9"/>
  <c r="T162" i="9"/>
  <c r="S162" i="9"/>
  <c r="R162" i="9"/>
  <c r="V161" i="9"/>
  <c r="U161" i="9"/>
  <c r="T161" i="9"/>
  <c r="S161" i="9"/>
  <c r="R161" i="9"/>
  <c r="V160" i="9"/>
  <c r="U160" i="9"/>
  <c r="T160" i="9"/>
  <c r="S160" i="9"/>
  <c r="R160" i="9"/>
  <c r="V159" i="9"/>
  <c r="U159" i="9"/>
  <c r="T159" i="9"/>
  <c r="S159" i="9"/>
  <c r="R159" i="9"/>
  <c r="V158" i="9"/>
  <c r="U158" i="9"/>
  <c r="T158" i="9"/>
  <c r="S158" i="9"/>
  <c r="R158" i="9"/>
  <c r="V157" i="9"/>
  <c r="U157" i="9"/>
  <c r="T157" i="9"/>
  <c r="S157" i="9"/>
  <c r="R157" i="9"/>
  <c r="V156" i="9"/>
  <c r="U156" i="9"/>
  <c r="T156" i="9"/>
  <c r="S156" i="9"/>
  <c r="R156" i="9"/>
  <c r="V155" i="9"/>
  <c r="U155" i="9"/>
  <c r="T155" i="9"/>
  <c r="S155" i="9"/>
  <c r="R155" i="9"/>
  <c r="V154" i="9"/>
  <c r="U154" i="9"/>
  <c r="T154" i="9"/>
  <c r="S154" i="9"/>
  <c r="R154" i="9"/>
  <c r="V153" i="9"/>
  <c r="U153" i="9"/>
  <c r="T153" i="9"/>
  <c r="S153" i="9"/>
  <c r="R153" i="9"/>
  <c r="V152" i="9"/>
  <c r="U152" i="9"/>
  <c r="T152" i="9"/>
  <c r="S152" i="9"/>
  <c r="R152" i="9"/>
  <c r="V151" i="9"/>
  <c r="U151" i="9"/>
  <c r="T151" i="9"/>
  <c r="S151" i="9"/>
  <c r="R151" i="9"/>
  <c r="V150" i="9"/>
  <c r="U150" i="9"/>
  <c r="T150" i="9"/>
  <c r="S150" i="9"/>
  <c r="R150" i="9"/>
  <c r="V149" i="9"/>
  <c r="U149" i="9"/>
  <c r="T149" i="9"/>
  <c r="S149" i="9"/>
  <c r="R149" i="9"/>
  <c r="V148" i="9"/>
  <c r="U148" i="9"/>
  <c r="T148" i="9"/>
  <c r="S148" i="9"/>
  <c r="R148" i="9"/>
  <c r="V147" i="9"/>
  <c r="U147" i="9"/>
  <c r="T147" i="9"/>
  <c r="S147" i="9"/>
  <c r="R147" i="9"/>
  <c r="V146" i="9"/>
  <c r="U146" i="9"/>
  <c r="T146" i="9"/>
  <c r="S146" i="9"/>
  <c r="R146" i="9"/>
  <c r="V145" i="9"/>
  <c r="U145" i="9"/>
  <c r="T145" i="9"/>
  <c r="S145" i="9"/>
  <c r="R145" i="9"/>
  <c r="V144" i="9"/>
  <c r="U144" i="9"/>
  <c r="T144" i="9"/>
  <c r="S144" i="9"/>
  <c r="R144" i="9"/>
  <c r="V143" i="9"/>
  <c r="U143" i="9"/>
  <c r="T143" i="9"/>
  <c r="S143" i="9"/>
  <c r="R143" i="9"/>
  <c r="V142" i="9"/>
  <c r="U142" i="9"/>
  <c r="T142" i="9"/>
  <c r="S142" i="9"/>
  <c r="R142" i="9"/>
  <c r="V141" i="9"/>
  <c r="U141" i="9"/>
  <c r="T141" i="9"/>
  <c r="S141" i="9"/>
  <c r="R141" i="9"/>
  <c r="V140" i="9"/>
  <c r="U140" i="9"/>
  <c r="T140" i="9"/>
  <c r="S140" i="9"/>
  <c r="R140" i="9"/>
  <c r="V139" i="9"/>
  <c r="U139" i="9"/>
  <c r="T139" i="9"/>
  <c r="S139" i="9"/>
  <c r="R139" i="9"/>
  <c r="V138" i="9"/>
  <c r="U138" i="9"/>
  <c r="T138" i="9"/>
  <c r="S138" i="9"/>
  <c r="R138" i="9"/>
  <c r="V137" i="9"/>
  <c r="U137" i="9"/>
  <c r="T137" i="9"/>
  <c r="S137" i="9"/>
  <c r="R137" i="9"/>
  <c r="V136" i="9"/>
  <c r="U136" i="9"/>
  <c r="T136" i="9"/>
  <c r="S136" i="9"/>
  <c r="R136" i="9"/>
  <c r="V135" i="9"/>
  <c r="U135" i="9"/>
  <c r="T135" i="9"/>
  <c r="S135" i="9"/>
  <c r="R135" i="9"/>
  <c r="V134" i="9"/>
  <c r="U134" i="9"/>
  <c r="T134" i="9"/>
  <c r="S134" i="9"/>
  <c r="R134" i="9"/>
  <c r="V132" i="9"/>
  <c r="U132" i="9"/>
  <c r="T132" i="9"/>
  <c r="S132" i="9"/>
  <c r="R132" i="9"/>
  <c r="V131" i="9"/>
  <c r="U131" i="9"/>
  <c r="T131" i="9"/>
  <c r="S131" i="9"/>
  <c r="R131" i="9"/>
  <c r="V130" i="9"/>
  <c r="U130" i="9"/>
  <c r="T130" i="9"/>
  <c r="S130" i="9"/>
  <c r="R130" i="9"/>
  <c r="V129" i="9"/>
  <c r="U129" i="9"/>
  <c r="T129" i="9"/>
  <c r="S129" i="9"/>
  <c r="R129" i="9"/>
  <c r="V128" i="9"/>
  <c r="U128" i="9"/>
  <c r="T128" i="9"/>
  <c r="S128" i="9"/>
  <c r="R128" i="9"/>
  <c r="V127" i="9"/>
  <c r="U127" i="9"/>
  <c r="T127" i="9"/>
  <c r="S127" i="9"/>
  <c r="R127" i="9"/>
  <c r="V126" i="9"/>
  <c r="U126" i="9"/>
  <c r="T126" i="9"/>
  <c r="S126" i="9"/>
  <c r="R126" i="9"/>
  <c r="V125" i="9"/>
  <c r="U125" i="9"/>
  <c r="T125" i="9"/>
  <c r="S125" i="9"/>
  <c r="R125" i="9"/>
  <c r="V124" i="9"/>
  <c r="U124" i="9"/>
  <c r="T124" i="9"/>
  <c r="S124" i="9"/>
  <c r="R124" i="9"/>
  <c r="V123" i="9"/>
  <c r="U123" i="9"/>
  <c r="T123" i="9"/>
  <c r="S123" i="9"/>
  <c r="R123" i="9"/>
  <c r="V122" i="9"/>
  <c r="U122" i="9"/>
  <c r="T122" i="9"/>
  <c r="S122" i="9"/>
  <c r="R122" i="9"/>
  <c r="V121" i="9"/>
  <c r="U121" i="9"/>
  <c r="T121" i="9"/>
  <c r="S121" i="9"/>
  <c r="R121" i="9"/>
  <c r="V120" i="9"/>
  <c r="U120" i="9"/>
  <c r="T120" i="9"/>
  <c r="S120" i="9"/>
  <c r="R120" i="9"/>
  <c r="V119" i="9"/>
  <c r="U119" i="9"/>
  <c r="T119" i="9"/>
  <c r="S119" i="9"/>
  <c r="R119" i="9"/>
  <c r="V118" i="9"/>
  <c r="U118" i="9"/>
  <c r="T118" i="9"/>
  <c r="S118" i="9"/>
  <c r="R118" i="9"/>
  <c r="V117" i="9"/>
  <c r="U117" i="9"/>
  <c r="T117" i="9"/>
  <c r="S117" i="9"/>
  <c r="R117" i="9"/>
  <c r="V116" i="9"/>
  <c r="U116" i="9"/>
  <c r="T116" i="9"/>
  <c r="AB56" i="5" s="1"/>
  <c r="S116" i="9"/>
  <c r="AA55" i="5" s="1"/>
  <c r="R116" i="9"/>
  <c r="Z55" i="5" s="1"/>
  <c r="V115" i="9"/>
  <c r="AD54" i="5" s="1"/>
  <c r="U115" i="9"/>
  <c r="AC54" i="5" s="1"/>
  <c r="T115" i="9"/>
  <c r="AB54" i="5" s="1"/>
  <c r="S115" i="9"/>
  <c r="AA54" i="5" s="1"/>
  <c r="R115" i="9"/>
  <c r="Z54" i="5" s="1"/>
  <c r="V114" i="9"/>
  <c r="U114" i="9"/>
  <c r="T114" i="9"/>
  <c r="S114" i="9"/>
  <c r="R114" i="9"/>
  <c r="V113" i="9"/>
  <c r="U113" i="9"/>
  <c r="T113" i="9"/>
  <c r="S113" i="9"/>
  <c r="R113" i="9"/>
  <c r="V112" i="9"/>
  <c r="U112" i="9"/>
  <c r="T112" i="9"/>
  <c r="S112" i="9"/>
  <c r="R112" i="9"/>
  <c r="V111" i="9"/>
  <c r="AD53" i="5" s="1"/>
  <c r="U111" i="9"/>
  <c r="AC53" i="5" s="1"/>
  <c r="T111" i="9"/>
  <c r="AB53" i="5" s="1"/>
  <c r="S111" i="9"/>
  <c r="AA53" i="5" s="1"/>
  <c r="R111" i="9"/>
  <c r="Z53" i="5" s="1"/>
  <c r="V110" i="9"/>
  <c r="U110" i="9"/>
  <c r="T110" i="9"/>
  <c r="S110" i="9"/>
  <c r="R110" i="9"/>
  <c r="V109" i="9"/>
  <c r="U109" i="9"/>
  <c r="T109" i="9"/>
  <c r="S109" i="9"/>
  <c r="R109" i="9"/>
  <c r="V108" i="9"/>
  <c r="U108" i="9"/>
  <c r="T108" i="9"/>
  <c r="S108" i="9"/>
  <c r="R108" i="9"/>
  <c r="V107" i="9"/>
  <c r="U107" i="9"/>
  <c r="T107" i="9"/>
  <c r="S107" i="9"/>
  <c r="R107" i="9"/>
  <c r="V106" i="9"/>
  <c r="U106" i="9"/>
  <c r="T106" i="9"/>
  <c r="S106" i="9"/>
  <c r="R106" i="9"/>
  <c r="V105" i="9"/>
  <c r="U105" i="9"/>
  <c r="T105" i="9"/>
  <c r="S105" i="9"/>
  <c r="R105" i="9"/>
  <c r="V104" i="9"/>
  <c r="U104" i="9"/>
  <c r="T104" i="9"/>
  <c r="S104" i="9"/>
  <c r="R104" i="9"/>
  <c r="V103" i="9"/>
  <c r="U103" i="9"/>
  <c r="T103" i="9"/>
  <c r="S103" i="9"/>
  <c r="R103" i="9"/>
  <c r="V102" i="9"/>
  <c r="U102" i="9"/>
  <c r="T102" i="9"/>
  <c r="S102" i="9"/>
  <c r="R102" i="9"/>
  <c r="V101" i="9"/>
  <c r="U101" i="9"/>
  <c r="T101" i="9"/>
  <c r="S101" i="9"/>
  <c r="R101" i="9"/>
  <c r="V100" i="9"/>
  <c r="U100" i="9"/>
  <c r="T100" i="9"/>
  <c r="S100" i="9"/>
  <c r="R100" i="9"/>
  <c r="V99" i="9"/>
  <c r="U99" i="9"/>
  <c r="T99" i="9"/>
  <c r="S99" i="9"/>
  <c r="R99" i="9"/>
  <c r="V98" i="9"/>
  <c r="U98" i="9"/>
  <c r="T98" i="9"/>
  <c r="S98" i="9"/>
  <c r="R98" i="9"/>
  <c r="V97" i="9"/>
  <c r="U97" i="9"/>
  <c r="T97" i="9"/>
  <c r="S97" i="9"/>
  <c r="R97" i="9"/>
  <c r="V96" i="9"/>
  <c r="U96" i="9"/>
  <c r="T96" i="9"/>
  <c r="S96" i="9"/>
  <c r="R96" i="9"/>
  <c r="V95" i="9"/>
  <c r="U95" i="9"/>
  <c r="T95" i="9"/>
  <c r="S95" i="9"/>
  <c r="R95" i="9"/>
  <c r="V94" i="9"/>
  <c r="U94" i="9"/>
  <c r="T94" i="9"/>
  <c r="S94" i="9"/>
  <c r="R94" i="9"/>
  <c r="V93" i="9"/>
  <c r="U93" i="9"/>
  <c r="T93" i="9"/>
  <c r="S93" i="9"/>
  <c r="R93" i="9"/>
  <c r="V92" i="9"/>
  <c r="U92" i="9"/>
  <c r="T92" i="9"/>
  <c r="S92" i="9"/>
  <c r="R92" i="9"/>
  <c r="V91" i="9"/>
  <c r="U91" i="9"/>
  <c r="T91" i="9"/>
  <c r="S91" i="9"/>
  <c r="R91" i="9"/>
  <c r="V90" i="9"/>
  <c r="U90" i="9"/>
  <c r="T90" i="9"/>
  <c r="S90" i="9"/>
  <c r="R90" i="9"/>
  <c r="V89" i="9"/>
  <c r="U89" i="9"/>
  <c r="T89" i="9"/>
  <c r="S89" i="9"/>
  <c r="R89" i="9"/>
  <c r="V88" i="9"/>
  <c r="U88" i="9"/>
  <c r="T88" i="9"/>
  <c r="S88" i="9"/>
  <c r="R88" i="9"/>
  <c r="V87" i="9"/>
  <c r="U87" i="9"/>
  <c r="T87" i="9"/>
  <c r="S87" i="9"/>
  <c r="R87" i="9"/>
  <c r="V86" i="9"/>
  <c r="AD115" i="5" s="1"/>
  <c r="U86" i="9"/>
  <c r="AC115" i="5" s="1"/>
  <c r="T86" i="9"/>
  <c r="AB115" i="5" s="1"/>
  <c r="S86" i="9"/>
  <c r="AA115" i="5" s="1"/>
  <c r="R86" i="9"/>
  <c r="Z115" i="5" s="1"/>
  <c r="V85" i="9"/>
  <c r="AD116" i="5" s="1"/>
  <c r="U85" i="9"/>
  <c r="AC116" i="5" s="1"/>
  <c r="T85" i="9"/>
  <c r="AB116" i="5" s="1"/>
  <c r="S85" i="9"/>
  <c r="AA116" i="5" s="1"/>
  <c r="R85" i="9"/>
  <c r="Z116" i="5" s="1"/>
  <c r="V84" i="9"/>
  <c r="U84" i="9"/>
  <c r="T84" i="9"/>
  <c r="S84" i="9"/>
  <c r="R84" i="9"/>
  <c r="V83" i="9"/>
  <c r="U83" i="9"/>
  <c r="T83" i="9"/>
  <c r="S83" i="9"/>
  <c r="R83" i="9"/>
  <c r="V82" i="9"/>
  <c r="U82" i="9"/>
  <c r="T82" i="9"/>
  <c r="S82" i="9"/>
  <c r="R82" i="9"/>
  <c r="V81" i="9"/>
  <c r="U81" i="9"/>
  <c r="T81" i="9"/>
  <c r="S81" i="9"/>
  <c r="R81" i="9"/>
  <c r="V80" i="9"/>
  <c r="AD57" i="5" s="1"/>
  <c r="U80" i="9"/>
  <c r="AC57" i="5" s="1"/>
  <c r="T80" i="9"/>
  <c r="AB57" i="5" s="1"/>
  <c r="S80" i="9"/>
  <c r="AA57" i="5" s="1"/>
  <c r="R80" i="9"/>
  <c r="Z57" i="5" s="1"/>
  <c r="V79" i="9"/>
  <c r="U79" i="9"/>
  <c r="T79" i="9"/>
  <c r="S79" i="9"/>
  <c r="R79" i="9"/>
  <c r="V78" i="9"/>
  <c r="U78" i="9"/>
  <c r="T78" i="9"/>
  <c r="S78" i="9"/>
  <c r="R78" i="9"/>
  <c r="V77" i="9"/>
  <c r="U77" i="9"/>
  <c r="T77" i="9"/>
  <c r="S77" i="9"/>
  <c r="R77" i="9"/>
  <c r="V76" i="9"/>
  <c r="U76" i="9"/>
  <c r="T76" i="9"/>
  <c r="S76" i="9"/>
  <c r="R76" i="9"/>
  <c r="V75" i="9"/>
  <c r="U75" i="9"/>
  <c r="T75" i="9"/>
  <c r="S75" i="9"/>
  <c r="R75" i="9"/>
  <c r="V74" i="9"/>
  <c r="U74" i="9"/>
  <c r="T74" i="9"/>
  <c r="S74" i="9"/>
  <c r="R74" i="9"/>
  <c r="V73" i="9"/>
  <c r="U73" i="9"/>
  <c r="T73" i="9"/>
  <c r="S73" i="9"/>
  <c r="R73" i="9"/>
  <c r="V72" i="9"/>
  <c r="AD22" i="5" s="1"/>
  <c r="U72" i="9"/>
  <c r="AC22" i="5" s="1"/>
  <c r="T72" i="9"/>
  <c r="AB22" i="5" s="1"/>
  <c r="S72" i="9"/>
  <c r="AA22" i="5" s="1"/>
  <c r="R72" i="9"/>
  <c r="V71" i="9"/>
  <c r="U71" i="9"/>
  <c r="T71" i="9"/>
  <c r="S71" i="9"/>
  <c r="R71" i="9"/>
  <c r="V70" i="9"/>
  <c r="U70" i="9"/>
  <c r="T70" i="9"/>
  <c r="S70" i="9"/>
  <c r="R70" i="9"/>
  <c r="V69" i="9"/>
  <c r="U69" i="9"/>
  <c r="T69" i="9"/>
  <c r="S69" i="9"/>
  <c r="R69" i="9"/>
  <c r="V68" i="9"/>
  <c r="U68" i="9"/>
  <c r="T68" i="9"/>
  <c r="S68" i="9"/>
  <c r="R68" i="9"/>
  <c r="V67" i="9"/>
  <c r="U67" i="9"/>
  <c r="T67" i="9"/>
  <c r="S67" i="9"/>
  <c r="R67" i="9"/>
  <c r="V66" i="9"/>
  <c r="U66" i="9"/>
  <c r="T66" i="9"/>
  <c r="S66" i="9"/>
  <c r="R66" i="9"/>
  <c r="V65" i="9"/>
  <c r="U65" i="9"/>
  <c r="T65" i="9"/>
  <c r="S65" i="9"/>
  <c r="R65" i="9"/>
  <c r="V64" i="9"/>
  <c r="U64" i="9"/>
  <c r="T64" i="9"/>
  <c r="S64" i="9"/>
  <c r="R64" i="9"/>
  <c r="V63" i="9"/>
  <c r="U63" i="9"/>
  <c r="T63" i="9"/>
  <c r="S63" i="9"/>
  <c r="R63" i="9"/>
  <c r="V62" i="9"/>
  <c r="AD157" i="5" s="1"/>
  <c r="U62" i="9"/>
  <c r="AC157" i="5" s="1"/>
  <c r="T62" i="9"/>
  <c r="AB157" i="5" s="1"/>
  <c r="S62" i="9"/>
  <c r="AA157" i="5" s="1"/>
  <c r="R62" i="9"/>
  <c r="Z157" i="5" s="1"/>
  <c r="V61" i="9"/>
  <c r="U61" i="9"/>
  <c r="T61" i="9"/>
  <c r="S61" i="9"/>
  <c r="R61" i="9"/>
  <c r="V60" i="9"/>
  <c r="U60" i="9"/>
  <c r="T60" i="9"/>
  <c r="S60" i="9"/>
  <c r="R60" i="9"/>
  <c r="V59" i="9"/>
  <c r="U59" i="9"/>
  <c r="T59" i="9"/>
  <c r="S59" i="9"/>
  <c r="R59" i="9"/>
  <c r="V58" i="9"/>
  <c r="U58" i="9"/>
  <c r="T58" i="9"/>
  <c r="S58" i="9"/>
  <c r="R58" i="9"/>
  <c r="V57" i="9"/>
  <c r="U57" i="9"/>
  <c r="T57" i="9"/>
  <c r="S57" i="9"/>
  <c r="R57" i="9"/>
  <c r="V56" i="9"/>
  <c r="U56" i="9"/>
  <c r="T56" i="9"/>
  <c r="S56" i="9"/>
  <c r="R56" i="9"/>
  <c r="V55" i="9"/>
  <c r="U55" i="9"/>
  <c r="T55" i="9"/>
  <c r="S55" i="9"/>
  <c r="R55" i="9"/>
  <c r="V54" i="9"/>
  <c r="U54" i="9"/>
  <c r="T54" i="9"/>
  <c r="S54" i="9"/>
  <c r="R54" i="9"/>
  <c r="V53" i="9"/>
  <c r="U53" i="9"/>
  <c r="T53" i="9"/>
  <c r="S53" i="9"/>
  <c r="R53" i="9"/>
  <c r="V52" i="9"/>
  <c r="AD49" i="5" s="1"/>
  <c r="U52" i="9"/>
  <c r="AC49" i="5" s="1"/>
  <c r="T52" i="9"/>
  <c r="AB49" i="5" s="1"/>
  <c r="S52" i="9"/>
  <c r="AA49" i="5" s="1"/>
  <c r="R52" i="9"/>
  <c r="Z49" i="5" s="1"/>
  <c r="V51" i="9"/>
  <c r="U51" i="9"/>
  <c r="T51" i="9"/>
  <c r="S51" i="9"/>
  <c r="R51" i="9"/>
  <c r="V50" i="9"/>
  <c r="U50" i="9"/>
  <c r="T50" i="9"/>
  <c r="S50" i="9"/>
  <c r="R50" i="9"/>
  <c r="V49" i="9"/>
  <c r="AD164" i="5" s="1"/>
  <c r="U49" i="9"/>
  <c r="T49" i="9"/>
  <c r="S49" i="9"/>
  <c r="R49" i="9"/>
  <c r="V48" i="9"/>
  <c r="U48" i="9"/>
  <c r="T48" i="9"/>
  <c r="S48" i="9"/>
  <c r="R48" i="9"/>
  <c r="V47" i="9"/>
  <c r="U47" i="9"/>
  <c r="T47" i="9"/>
  <c r="S47" i="9"/>
  <c r="R47" i="9"/>
  <c r="V46" i="9"/>
  <c r="U46" i="9"/>
  <c r="T46" i="9"/>
  <c r="S46" i="9"/>
  <c r="R46" i="9"/>
  <c r="V45" i="9"/>
  <c r="U45" i="9"/>
  <c r="T45" i="9"/>
  <c r="S45" i="9"/>
  <c r="R45" i="9"/>
  <c r="V44" i="9"/>
  <c r="U44" i="9"/>
  <c r="T44" i="9"/>
  <c r="S44" i="9"/>
  <c r="R44" i="9"/>
  <c r="V43" i="9"/>
  <c r="U43" i="9"/>
  <c r="T43" i="9"/>
  <c r="S43" i="9"/>
  <c r="R43" i="9"/>
  <c r="V42" i="9"/>
  <c r="U42" i="9"/>
  <c r="T42" i="9"/>
  <c r="S42" i="9"/>
  <c r="R42" i="9"/>
  <c r="V41" i="9"/>
  <c r="U41" i="9"/>
  <c r="T41" i="9"/>
  <c r="S41" i="9"/>
  <c r="R41" i="9"/>
  <c r="V40" i="9"/>
  <c r="U40" i="9"/>
  <c r="T40" i="9"/>
  <c r="S40" i="9"/>
  <c r="R40" i="9"/>
  <c r="V39" i="9"/>
  <c r="U39" i="9"/>
  <c r="T39" i="9"/>
  <c r="S39" i="9"/>
  <c r="R39" i="9"/>
  <c r="V38" i="9"/>
  <c r="U38" i="9"/>
  <c r="T38" i="9"/>
  <c r="S38" i="9"/>
  <c r="R38" i="9"/>
  <c r="V37" i="9"/>
  <c r="AD140" i="5" s="1"/>
  <c r="U37" i="9"/>
  <c r="AC140" i="5" s="1"/>
  <c r="T37" i="9"/>
  <c r="AB140" i="5" s="1"/>
  <c r="S37" i="9"/>
  <c r="AA140" i="5" s="1"/>
  <c r="R37" i="9"/>
  <c r="Z140" i="5" s="1"/>
  <c r="V36" i="9"/>
  <c r="U36" i="9"/>
  <c r="T36" i="9"/>
  <c r="S36" i="9"/>
  <c r="R36" i="9"/>
  <c r="V35" i="9"/>
  <c r="U35" i="9"/>
  <c r="T35" i="9"/>
  <c r="S35" i="9"/>
  <c r="R35" i="9"/>
  <c r="V34" i="9"/>
  <c r="U34" i="9"/>
  <c r="T34" i="9"/>
  <c r="S34" i="9"/>
  <c r="R34" i="9"/>
  <c r="V33" i="9"/>
  <c r="U33" i="9"/>
  <c r="T33" i="9"/>
  <c r="S33" i="9"/>
  <c r="R33" i="9"/>
  <c r="V32" i="9"/>
  <c r="U32" i="9"/>
  <c r="T32" i="9"/>
  <c r="S32" i="9"/>
  <c r="R32" i="9"/>
  <c r="V31" i="9"/>
  <c r="AD91" i="5" s="1"/>
  <c r="U31" i="9"/>
  <c r="T31" i="9"/>
  <c r="S31" i="9"/>
  <c r="R31" i="9"/>
  <c r="V30" i="9"/>
  <c r="U30" i="9"/>
  <c r="T30" i="9"/>
  <c r="S30" i="9"/>
  <c r="R30" i="9"/>
  <c r="V29" i="9"/>
  <c r="AD139" i="5" s="1"/>
  <c r="U29" i="9"/>
  <c r="AC139" i="5" s="1"/>
  <c r="T29" i="9"/>
  <c r="AB139" i="5" s="1"/>
  <c r="S29" i="9"/>
  <c r="AA139" i="5" s="1"/>
  <c r="R29" i="9"/>
  <c r="Z139" i="5" s="1"/>
  <c r="V28" i="9"/>
  <c r="U28" i="9"/>
  <c r="T28" i="9"/>
  <c r="S28" i="9"/>
  <c r="R28" i="9"/>
  <c r="V27" i="9"/>
  <c r="U27" i="9"/>
  <c r="T27" i="9"/>
  <c r="S27" i="9"/>
  <c r="R27" i="9"/>
  <c r="V26" i="9"/>
  <c r="U26" i="9"/>
  <c r="T26" i="9"/>
  <c r="S26" i="9"/>
  <c r="R26" i="9"/>
  <c r="V25" i="9"/>
  <c r="AD88" i="5" s="1"/>
  <c r="U25" i="9"/>
  <c r="AC88" i="5" s="1"/>
  <c r="T25" i="9"/>
  <c r="AB88" i="5" s="1"/>
  <c r="S25" i="9"/>
  <c r="AA88" i="5" s="1"/>
  <c r="R25" i="9"/>
  <c r="Z88" i="5" s="1"/>
  <c r="V24" i="9"/>
  <c r="U24" i="9"/>
  <c r="T24" i="9"/>
  <c r="S24" i="9"/>
  <c r="R24" i="9"/>
  <c r="V23" i="9"/>
  <c r="U23" i="9"/>
  <c r="T23" i="9"/>
  <c r="S23" i="9"/>
  <c r="R23" i="9"/>
  <c r="R22" i="9"/>
  <c r="S22" i="9"/>
  <c r="AC27" i="5" l="1"/>
  <c r="AC6" i="5"/>
  <c r="Z27" i="5"/>
  <c r="Z6" i="5"/>
  <c r="AD27" i="5"/>
  <c r="AD6" i="5"/>
  <c r="Z33" i="5"/>
  <c r="Z34" i="5"/>
  <c r="AF10" i="5"/>
  <c r="AE10" i="5"/>
  <c r="AA27" i="5"/>
  <c r="AA6" i="5"/>
  <c r="Z5" i="5"/>
  <c r="AD5" i="5"/>
  <c r="AA33" i="5"/>
  <c r="AA34" i="5"/>
  <c r="AA62" i="5"/>
  <c r="AB35" i="5"/>
  <c r="AB9" i="5"/>
  <c r="Y27" i="5"/>
  <c r="AE27" i="5" s="1"/>
  <c r="Y6" i="5"/>
  <c r="Y33" i="5"/>
  <c r="AE33" i="5" s="1"/>
  <c r="Y34" i="5"/>
  <c r="AD33" i="5"/>
  <c r="AD34" i="5"/>
  <c r="AF9" i="5"/>
  <c r="AE9" i="5"/>
  <c r="AF71" i="5"/>
  <c r="AE71" i="5"/>
  <c r="AB27" i="5"/>
  <c r="AB6" i="5"/>
  <c r="Z118" i="5"/>
  <c r="AD118" i="5"/>
  <c r="AC61" i="5"/>
  <c r="AB33" i="5"/>
  <c r="AB34" i="5"/>
  <c r="AC98" i="5"/>
  <c r="AF66" i="5"/>
  <c r="AE66" i="5"/>
  <c r="AF78" i="5"/>
  <c r="AE78" i="5"/>
  <c r="AC33" i="5"/>
  <c r="AC34" i="5"/>
  <c r="Z35" i="5"/>
  <c r="Z9" i="5"/>
  <c r="AF70" i="5"/>
  <c r="AE70" i="5"/>
  <c r="AF68" i="5"/>
  <c r="AE68" i="5"/>
  <c r="AF32" i="5"/>
  <c r="AE32" i="5"/>
  <c r="AF8" i="5"/>
  <c r="AE8" i="5"/>
  <c r="AF7" i="5"/>
  <c r="AE7" i="5"/>
  <c r="AB117" i="5"/>
  <c r="AB154" i="5"/>
  <c r="Y154" i="5"/>
  <c r="AE154" i="5" s="1"/>
  <c r="AC76" i="5"/>
  <c r="AC77" i="5"/>
  <c r="AB30" i="5"/>
  <c r="AB28" i="5"/>
  <c r="AB36" i="5"/>
  <c r="AB37" i="5"/>
  <c r="AF14" i="5"/>
  <c r="AE14" i="5"/>
  <c r="AF19" i="5"/>
  <c r="AE19" i="5"/>
  <c r="Y30" i="5"/>
  <c r="Y28" i="5"/>
  <c r="Y36" i="5"/>
  <c r="AE36" i="5" s="1"/>
  <c r="Y37" i="5"/>
  <c r="AA60" i="5"/>
  <c r="AA58" i="5"/>
  <c r="AA59" i="5"/>
  <c r="I147" i="4"/>
  <c r="I99" i="4" s="1"/>
  <c r="AC72" i="5"/>
  <c r="AB60" i="5"/>
  <c r="AB58" i="5"/>
  <c r="AB59" i="5"/>
  <c r="I149" i="4"/>
  <c r="AC19" i="5"/>
  <c r="Z76" i="5"/>
  <c r="Z77" i="5"/>
  <c r="AD76" i="5"/>
  <c r="AD77" i="5"/>
  <c r="AC30" i="5"/>
  <c r="AC28" i="5"/>
  <c r="AC36" i="5"/>
  <c r="AC37" i="5"/>
  <c r="Y60" i="5"/>
  <c r="Y59" i="5"/>
  <c r="Y58" i="5"/>
  <c r="AF24" i="5"/>
  <c r="AE24" i="5"/>
  <c r="AD13" i="5"/>
  <c r="AD12" i="5"/>
  <c r="F147" i="4"/>
  <c r="Z72" i="5"/>
  <c r="J147" i="4"/>
  <c r="AD72" i="5"/>
  <c r="AC60" i="5"/>
  <c r="AC59" i="5"/>
  <c r="AC58" i="5"/>
  <c r="F149" i="4"/>
  <c r="Z19" i="5"/>
  <c r="J149" i="4"/>
  <c r="AD19" i="5"/>
  <c r="G147" i="4"/>
  <c r="AA72" i="5"/>
  <c r="AA76" i="5"/>
  <c r="AA77" i="5"/>
  <c r="Z30" i="5"/>
  <c r="Z28" i="5"/>
  <c r="AD30" i="5"/>
  <c r="AD28" i="5"/>
  <c r="Z36" i="5"/>
  <c r="Z37" i="5"/>
  <c r="AD36" i="5"/>
  <c r="AD37" i="5"/>
  <c r="AF25" i="5"/>
  <c r="AE25" i="5"/>
  <c r="Y39" i="5"/>
  <c r="AE39" i="5" s="1"/>
  <c r="Y41" i="5"/>
  <c r="H149" i="4"/>
  <c r="AB19" i="5"/>
  <c r="Z13" i="5"/>
  <c r="Z12" i="5"/>
  <c r="Z117" i="5"/>
  <c r="AD117" i="5"/>
  <c r="AC118" i="5"/>
  <c r="AB61" i="5"/>
  <c r="AB13" i="5"/>
  <c r="AB12" i="5"/>
  <c r="Z60" i="5"/>
  <c r="Z59" i="5"/>
  <c r="Z58" i="5"/>
  <c r="AD60" i="5"/>
  <c r="AD59" i="5"/>
  <c r="AD58" i="5"/>
  <c r="G149" i="4"/>
  <c r="AA19" i="5"/>
  <c r="AB98" i="5"/>
  <c r="Z11" i="5"/>
  <c r="AD11" i="5"/>
  <c r="H147" i="4"/>
  <c r="AB72" i="5"/>
  <c r="AB76" i="5"/>
  <c r="AB77" i="5"/>
  <c r="AC39" i="5"/>
  <c r="AC41" i="5"/>
  <c r="AA28" i="5"/>
  <c r="AA30" i="5"/>
  <c r="AA36" i="5"/>
  <c r="AA37" i="5"/>
  <c r="AC64" i="5"/>
  <c r="AF12" i="5"/>
  <c r="AE12" i="5"/>
  <c r="AF72" i="5"/>
  <c r="AE72" i="5"/>
  <c r="Y76" i="5"/>
  <c r="AE76" i="5" s="1"/>
  <c r="Y77" i="5"/>
  <c r="AF16" i="5"/>
  <c r="AE16" i="5"/>
  <c r="AF20" i="5"/>
  <c r="AE20" i="5"/>
  <c r="AA117" i="5"/>
  <c r="AC13" i="5"/>
  <c r="AA11" i="5"/>
  <c r="AB11" i="5"/>
  <c r="AA67" i="5"/>
  <c r="Y11" i="5"/>
  <c r="AE11" i="5" s="1"/>
  <c r="AA13" i="5"/>
  <c r="AC11" i="5"/>
  <c r="AB64" i="5"/>
  <c r="AA73" i="5"/>
  <c r="Y13" i="5"/>
  <c r="AF13" i="5" s="1"/>
  <c r="AE35" i="5"/>
  <c r="Z99" i="5"/>
  <c r="F150" i="4"/>
  <c r="AC154" i="5"/>
  <c r="AA118" i="5"/>
  <c r="Z154" i="5"/>
  <c r="Z61" i="5"/>
  <c r="AA39" i="5"/>
  <c r="AA31" i="5"/>
  <c r="G148" i="4"/>
  <c r="AC73" i="5"/>
  <c r="Z63" i="5"/>
  <c r="AD63" i="5"/>
  <c r="Z17" i="5"/>
  <c r="AD17" i="5"/>
  <c r="Z64" i="5"/>
  <c r="AD64" i="5"/>
  <c r="AB151" i="5"/>
  <c r="H151" i="4"/>
  <c r="Y62" i="5"/>
  <c r="AE62" i="5" s="1"/>
  <c r="L149" i="4"/>
  <c r="K149" i="4"/>
  <c r="Y73" i="5"/>
  <c r="AE73" i="5" s="1"/>
  <c r="AB5" i="5"/>
  <c r="AD154" i="5"/>
  <c r="AD61" i="5"/>
  <c r="AC62" i="5"/>
  <c r="Z98" i="5"/>
  <c r="AD98" i="5"/>
  <c r="AB99" i="5"/>
  <c r="H150" i="4"/>
  <c r="AC117" i="5"/>
  <c r="AB118" i="5"/>
  <c r="AC5" i="5"/>
  <c r="AA154" i="5"/>
  <c r="AA61" i="5"/>
  <c r="AA15" i="5"/>
  <c r="Z62" i="5"/>
  <c r="AD62" i="5"/>
  <c r="AA98" i="5"/>
  <c r="AC99" i="5"/>
  <c r="I150" i="4"/>
  <c r="AB39" i="5"/>
  <c r="AB31" i="5"/>
  <c r="H148" i="4"/>
  <c r="AB67" i="5"/>
  <c r="Z73" i="5"/>
  <c r="AD73" i="5"/>
  <c r="AA63" i="5"/>
  <c r="AA17" i="5"/>
  <c r="AA64" i="5"/>
  <c r="Y117" i="5"/>
  <c r="AE117" i="5" s="1"/>
  <c r="Y5" i="5"/>
  <c r="AE5" i="5" s="1"/>
  <c r="Y99" i="5"/>
  <c r="AE99" i="5" s="1"/>
  <c r="L150" i="4"/>
  <c r="K150" i="4"/>
  <c r="Y151" i="5"/>
  <c r="AE151" i="5" s="1"/>
  <c r="K151" i="4"/>
  <c r="L151" i="4"/>
  <c r="AC31" i="5"/>
  <c r="I148" i="4"/>
  <c r="AC67" i="5"/>
  <c r="AB63" i="5"/>
  <c r="AB17" i="5"/>
  <c r="AD151" i="5"/>
  <c r="J151" i="4"/>
  <c r="J104" i="4" s="1"/>
  <c r="Y118" i="5"/>
  <c r="AE118" i="5" s="1"/>
  <c r="Y31" i="5"/>
  <c r="AE31" i="5" s="1"/>
  <c r="L148" i="4"/>
  <c r="K148" i="4"/>
  <c r="Y67" i="5"/>
  <c r="AE67" i="5" s="1"/>
  <c r="AD99" i="5"/>
  <c r="J150" i="4"/>
  <c r="AA5" i="5"/>
  <c r="AB62" i="5"/>
  <c r="AA99" i="5"/>
  <c r="G150" i="4"/>
  <c r="Z39" i="5"/>
  <c r="AD39" i="5"/>
  <c r="Z31" i="5"/>
  <c r="F148" i="4"/>
  <c r="AD31" i="5"/>
  <c r="J148" i="4"/>
  <c r="J100" i="4" s="1"/>
  <c r="Z67" i="5"/>
  <c r="AD67" i="5"/>
  <c r="AB73" i="5"/>
  <c r="AC63" i="5"/>
  <c r="AC17" i="5"/>
  <c r="AA151" i="5"/>
  <c r="G151" i="4"/>
  <c r="L147" i="4"/>
  <c r="K147" i="4"/>
  <c r="Y63" i="5"/>
  <c r="AE63" i="5" s="1"/>
  <c r="Y17" i="5"/>
  <c r="AE17" i="5" s="1"/>
  <c r="AB18" i="5"/>
  <c r="AB26" i="5"/>
  <c r="AA111" i="5"/>
  <c r="AB65" i="5"/>
  <c r="AA23" i="5"/>
  <c r="AB110" i="5"/>
  <c r="AC26" i="5"/>
  <c r="AC65" i="5"/>
  <c r="AF134" i="5"/>
  <c r="AE134" i="5"/>
  <c r="AE133" i="5"/>
  <c r="AF133" i="5"/>
  <c r="AE155" i="5"/>
  <c r="AF155" i="5"/>
  <c r="AA65" i="5"/>
  <c r="AE131" i="5"/>
  <c r="AF131" i="5"/>
  <c r="Z23" i="5"/>
  <c r="AD23" i="5"/>
  <c r="AA18" i="5"/>
  <c r="AA110" i="5"/>
  <c r="Y23" i="5"/>
  <c r="AE23" i="5" s="1"/>
  <c r="AB23" i="5"/>
  <c r="AC18" i="5"/>
  <c r="AC110" i="5"/>
  <c r="AB111" i="5"/>
  <c r="Z65" i="5"/>
  <c r="AD65" i="5"/>
  <c r="Y65" i="5"/>
  <c r="AE65" i="5" s="1"/>
  <c r="AC23" i="5"/>
  <c r="Z18" i="5"/>
  <c r="AD18" i="5"/>
  <c r="J101" i="4" s="1"/>
  <c r="Z110" i="5"/>
  <c r="AD110" i="5"/>
  <c r="AC111" i="5"/>
  <c r="Z26" i="5"/>
  <c r="AD26" i="5"/>
  <c r="Y18" i="5"/>
  <c r="AE18" i="5" s="1"/>
  <c r="Y110" i="5"/>
  <c r="AE110" i="5" s="1"/>
  <c r="Y26" i="5"/>
  <c r="AE26" i="5" s="1"/>
  <c r="Z111" i="5"/>
  <c r="AD111" i="5"/>
  <c r="AA26" i="5"/>
  <c r="Y111" i="5"/>
  <c r="AE111" i="5" s="1"/>
  <c r="Z135" i="5"/>
  <c r="Z120" i="5"/>
  <c r="Z137" i="5"/>
  <c r="Z121" i="5"/>
  <c r="Z119" i="5"/>
  <c r="AD121" i="5"/>
  <c r="AD135" i="5"/>
  <c r="AD119" i="5"/>
  <c r="AD137" i="5"/>
  <c r="AD120" i="5"/>
  <c r="AC174" i="5"/>
  <c r="AC94" i="5"/>
  <c r="AC107" i="5"/>
  <c r="AC91" i="5"/>
  <c r="Z174" i="5"/>
  <c r="Z107" i="5"/>
  <c r="Z91" i="5"/>
  <c r="AB164" i="5"/>
  <c r="AB87" i="5"/>
  <c r="AC56" i="5"/>
  <c r="AC55" i="5"/>
  <c r="AB137" i="5"/>
  <c r="AB135" i="5"/>
  <c r="AB120" i="5"/>
  <c r="AB121" i="5"/>
  <c r="AB119" i="5"/>
  <c r="AA174" i="5"/>
  <c r="AA107" i="5"/>
  <c r="AA91" i="5"/>
  <c r="AA94" i="5"/>
  <c r="AC164" i="5"/>
  <c r="AC87" i="5"/>
  <c r="AD56" i="5"/>
  <c r="AD55" i="5"/>
  <c r="AB160" i="5"/>
  <c r="AB156" i="5"/>
  <c r="AB114" i="5"/>
  <c r="AB163" i="5"/>
  <c r="AB44" i="5"/>
  <c r="AA175" i="5"/>
  <c r="AA171" i="5"/>
  <c r="AC97" i="5"/>
  <c r="AC96" i="5"/>
  <c r="AC105" i="5"/>
  <c r="AC89" i="5"/>
  <c r="Z127" i="5"/>
  <c r="Z130" i="5"/>
  <c r="AD127" i="5"/>
  <c r="AD130" i="5"/>
  <c r="AA126" i="5"/>
  <c r="AA122" i="5"/>
  <c r="AB129" i="5"/>
  <c r="AB128" i="5"/>
  <c r="AB132" i="5"/>
  <c r="AA165" i="5"/>
  <c r="AA83" i="5"/>
  <c r="Z176" i="5"/>
  <c r="Z172" i="5"/>
  <c r="Z149" i="5"/>
  <c r="Z84" i="5"/>
  <c r="AD176" i="5"/>
  <c r="AD172" i="5"/>
  <c r="AD149" i="5"/>
  <c r="AD84" i="5"/>
  <c r="AD159" i="5"/>
  <c r="AD82" i="5"/>
  <c r="AB178" i="5"/>
  <c r="AB177" i="5"/>
  <c r="AB173" i="5"/>
  <c r="AB81" i="5"/>
  <c r="AB104" i="5"/>
  <c r="Z158" i="5"/>
  <c r="Z79" i="5"/>
  <c r="AD158" i="5"/>
  <c r="AD74" i="5"/>
  <c r="Z146" i="5"/>
  <c r="Z112" i="5"/>
  <c r="AD146" i="5"/>
  <c r="AD52" i="5"/>
  <c r="AD112" i="5"/>
  <c r="Y174" i="5"/>
  <c r="AE174" i="5" s="1"/>
  <c r="Y94" i="5"/>
  <c r="AE94" i="5" s="1"/>
  <c r="Y107" i="5"/>
  <c r="AE107" i="5" s="1"/>
  <c r="Y175" i="5"/>
  <c r="AE175" i="5" s="1"/>
  <c r="Y171" i="5"/>
  <c r="AE171" i="5" s="1"/>
  <c r="Y126" i="5"/>
  <c r="AE126" i="5" s="1"/>
  <c r="Y122" i="5"/>
  <c r="AE122" i="5" s="1"/>
  <c r="AB29" i="5"/>
  <c r="AA40" i="5"/>
  <c r="AB45" i="5"/>
  <c r="AB50" i="5"/>
  <c r="Z56" i="5"/>
  <c r="Z74" i="5"/>
  <c r="AA81" i="5"/>
  <c r="AD87" i="5"/>
  <c r="Y91" i="5"/>
  <c r="AE91" i="5" s="1"/>
  <c r="Z94" i="5"/>
  <c r="Z175" i="5"/>
  <c r="Z171" i="5"/>
  <c r="AD175" i="5"/>
  <c r="AD171" i="5"/>
  <c r="AC135" i="5"/>
  <c r="AC120" i="5"/>
  <c r="AC119" i="5"/>
  <c r="AC121" i="5"/>
  <c r="AC137" i="5"/>
  <c r="AB174" i="5"/>
  <c r="AB107" i="5"/>
  <c r="AB91" i="5"/>
  <c r="AB94" i="5"/>
  <c r="Z164" i="5"/>
  <c r="Z87" i="5"/>
  <c r="AC44" i="5"/>
  <c r="AC92" i="5"/>
  <c r="AC160" i="5"/>
  <c r="AC156" i="5"/>
  <c r="AC114" i="5"/>
  <c r="AC163" i="5"/>
  <c r="AB175" i="5"/>
  <c r="AB171" i="5"/>
  <c r="Z97" i="5"/>
  <c r="Z96" i="5"/>
  <c r="AD97" i="5"/>
  <c r="AD96" i="5"/>
  <c r="Z105" i="5"/>
  <c r="Z89" i="5"/>
  <c r="AD105" i="5"/>
  <c r="AD89" i="5"/>
  <c r="AA127" i="5"/>
  <c r="AA130" i="5"/>
  <c r="AB126" i="5"/>
  <c r="AB122" i="5"/>
  <c r="AC128" i="5"/>
  <c r="AC132" i="5"/>
  <c r="AC129" i="5"/>
  <c r="AB165" i="5"/>
  <c r="AB83" i="5"/>
  <c r="AA176" i="5"/>
  <c r="AA172" i="5"/>
  <c r="AA149" i="5"/>
  <c r="AA84" i="5"/>
  <c r="AA159" i="5"/>
  <c r="AA82" i="5"/>
  <c r="AC81" i="5"/>
  <c r="AC178" i="5"/>
  <c r="AC104" i="5"/>
  <c r="AC47" i="5"/>
  <c r="AC177" i="5"/>
  <c r="AC173" i="5"/>
  <c r="AA79" i="5"/>
  <c r="AA158" i="5"/>
  <c r="AA74" i="5"/>
  <c r="AC151" i="5"/>
  <c r="I104" i="4" s="1"/>
  <c r="AC50" i="5"/>
  <c r="AA146" i="5"/>
  <c r="AA112" i="5"/>
  <c r="Y56" i="5"/>
  <c r="AE56" i="5" s="1"/>
  <c r="Y55" i="5"/>
  <c r="AE55" i="5" s="1"/>
  <c r="Y127" i="5"/>
  <c r="AE127" i="5" s="1"/>
  <c r="Y130" i="5"/>
  <c r="AE130" i="5" s="1"/>
  <c r="Y176" i="5"/>
  <c r="AE176" i="5" s="1"/>
  <c r="Y172" i="5"/>
  <c r="AE172" i="5" s="1"/>
  <c r="Y149" i="5"/>
  <c r="AE149" i="5" s="1"/>
  <c r="Y84" i="5"/>
  <c r="AE84" i="5" s="1"/>
  <c r="Y159" i="5"/>
  <c r="AE159" i="5" s="1"/>
  <c r="Y82" i="5"/>
  <c r="AE82" i="5" s="1"/>
  <c r="Y158" i="5"/>
  <c r="AE158" i="5" s="1"/>
  <c r="Y74" i="5"/>
  <c r="AE74" i="5" s="1"/>
  <c r="Y146" i="5"/>
  <c r="AE146" i="5" s="1"/>
  <c r="Y112" i="5"/>
  <c r="AE112" i="5" s="1"/>
  <c r="Y29" i="5"/>
  <c r="AE29" i="5" s="1"/>
  <c r="AD29" i="5"/>
  <c r="AB40" i="5"/>
  <c r="Y45" i="5"/>
  <c r="AE45" i="5" s="1"/>
  <c r="AD45" i="5"/>
  <c r="AD50" i="5"/>
  <c r="Y52" i="5"/>
  <c r="AE52" i="5" s="1"/>
  <c r="AA56" i="5"/>
  <c r="Y79" i="5"/>
  <c r="AE79" i="5" s="1"/>
  <c r="Z82" i="5"/>
  <c r="AA164" i="5"/>
  <c r="AA87" i="5"/>
  <c r="Z163" i="5"/>
  <c r="Z160" i="5"/>
  <c r="Z156" i="5"/>
  <c r="Z114" i="5"/>
  <c r="Z44" i="5"/>
  <c r="Z92" i="5"/>
  <c r="AD160" i="5"/>
  <c r="AD163" i="5"/>
  <c r="AD156" i="5"/>
  <c r="AD114" i="5"/>
  <c r="AD44" i="5"/>
  <c r="AD92" i="5"/>
  <c r="AC175" i="5"/>
  <c r="AC171" i="5"/>
  <c r="AA96" i="5"/>
  <c r="AA97" i="5"/>
  <c r="AB130" i="5"/>
  <c r="AB127" i="5"/>
  <c r="AC126" i="5"/>
  <c r="AC122" i="5"/>
  <c r="AC153" i="5"/>
  <c r="AC45" i="5"/>
  <c r="Z128" i="5"/>
  <c r="Z132" i="5"/>
  <c r="Z129" i="5"/>
  <c r="AD129" i="5"/>
  <c r="AD128" i="5"/>
  <c r="AD132" i="5"/>
  <c r="AC165" i="5"/>
  <c r="AC83" i="5"/>
  <c r="AB176" i="5"/>
  <c r="AB172" i="5"/>
  <c r="AB149" i="5"/>
  <c r="AB159" i="5"/>
  <c r="AB82" i="5"/>
  <c r="Z178" i="5"/>
  <c r="Z177" i="5"/>
  <c r="Z173" i="5"/>
  <c r="Z81" i="5"/>
  <c r="Z104" i="5"/>
  <c r="AD177" i="5"/>
  <c r="AD173" i="5"/>
  <c r="AD178" i="5"/>
  <c r="AD81" i="5"/>
  <c r="AD104" i="5"/>
  <c r="AC179" i="5"/>
  <c r="AC29" i="5"/>
  <c r="AB158" i="5"/>
  <c r="AB79" i="5"/>
  <c r="AB74" i="5"/>
  <c r="Z151" i="5"/>
  <c r="Z50" i="5"/>
  <c r="AB146" i="5"/>
  <c r="AB112" i="5"/>
  <c r="AB52" i="5"/>
  <c r="Y97" i="5"/>
  <c r="AE97" i="5" s="1"/>
  <c r="Y96" i="5"/>
  <c r="AE96" i="5" s="1"/>
  <c r="Y105" i="5"/>
  <c r="AE105" i="5" s="1"/>
  <c r="Y89" i="5"/>
  <c r="AE89" i="5" s="1"/>
  <c r="Z29" i="5"/>
  <c r="Y40" i="5"/>
  <c r="AE40" i="5" s="1"/>
  <c r="AD40" i="5"/>
  <c r="Z45" i="5"/>
  <c r="AB47" i="5"/>
  <c r="Y50" i="5"/>
  <c r="AE50" i="5" s="1"/>
  <c r="Z52" i="5"/>
  <c r="AD79" i="5"/>
  <c r="Y83" i="5"/>
  <c r="AE83" i="5" s="1"/>
  <c r="AA89" i="5"/>
  <c r="AB92" i="5"/>
  <c r="AA119" i="5"/>
  <c r="AA137" i="5"/>
  <c r="AA121" i="5"/>
  <c r="AA135" i="5"/>
  <c r="AA120" i="5"/>
  <c r="AD174" i="5"/>
  <c r="AD94" i="5"/>
  <c r="AD107" i="5"/>
  <c r="AA160" i="5"/>
  <c r="AA156" i="5"/>
  <c r="AA163" i="5"/>
  <c r="AA44" i="5"/>
  <c r="AA92" i="5"/>
  <c r="AA114" i="5"/>
  <c r="AB97" i="5"/>
  <c r="AB96" i="5"/>
  <c r="AB105" i="5"/>
  <c r="AB89" i="5"/>
  <c r="AC127" i="5"/>
  <c r="AC130" i="5"/>
  <c r="Z126" i="5"/>
  <c r="Z122" i="5"/>
  <c r="AD122" i="5"/>
  <c r="AD126" i="5"/>
  <c r="AC169" i="5"/>
  <c r="AC40" i="5"/>
  <c r="AA132" i="5"/>
  <c r="AA129" i="5"/>
  <c r="AA128" i="5"/>
  <c r="Z165" i="5"/>
  <c r="Z83" i="5"/>
  <c r="AC149" i="5"/>
  <c r="AC84" i="5"/>
  <c r="AC176" i="5"/>
  <c r="AC172" i="5"/>
  <c r="AC82" i="5"/>
  <c r="AC159" i="5"/>
  <c r="AA178" i="5"/>
  <c r="AA177" i="5"/>
  <c r="AA173" i="5"/>
  <c r="AA104" i="5"/>
  <c r="AC158" i="5"/>
  <c r="AC79" i="5"/>
  <c r="AC74" i="5"/>
  <c r="AC112" i="5"/>
  <c r="AC52" i="5"/>
  <c r="AC146" i="5"/>
  <c r="Y121" i="5"/>
  <c r="AE121" i="5" s="1"/>
  <c r="Y135" i="5"/>
  <c r="AE135" i="5" s="1"/>
  <c r="Y119" i="5"/>
  <c r="AE119" i="5" s="1"/>
  <c r="Y120" i="5"/>
  <c r="AE120" i="5" s="1"/>
  <c r="Y137" i="5"/>
  <c r="AE137" i="5" s="1"/>
  <c r="Y160" i="5"/>
  <c r="AE160" i="5" s="1"/>
  <c r="Y163" i="5"/>
  <c r="AE163" i="5" s="1"/>
  <c r="Y156" i="5"/>
  <c r="AE156" i="5" s="1"/>
  <c r="Y44" i="5"/>
  <c r="AE44" i="5" s="1"/>
  <c r="Y92" i="5"/>
  <c r="AE92" i="5" s="1"/>
  <c r="Y114" i="5"/>
  <c r="AE114" i="5" s="1"/>
  <c r="Y129" i="5"/>
  <c r="AE129" i="5" s="1"/>
  <c r="Y128" i="5"/>
  <c r="AE128" i="5" s="1"/>
  <c r="Y132" i="5"/>
  <c r="AE132" i="5" s="1"/>
  <c r="Y177" i="5"/>
  <c r="AE177" i="5" s="1"/>
  <c r="Y173" i="5"/>
  <c r="AE173" i="5" s="1"/>
  <c r="Y178" i="5"/>
  <c r="AE178" i="5" s="1"/>
  <c r="Y81" i="5"/>
  <c r="AE81" i="5" s="1"/>
  <c r="Y104" i="5"/>
  <c r="AE104" i="5" s="1"/>
  <c r="AA29" i="5"/>
  <c r="Z40" i="5"/>
  <c r="AA45" i="5"/>
  <c r="Y47" i="5"/>
  <c r="AE47" i="5" s="1"/>
  <c r="AD47" i="5"/>
  <c r="AA50" i="5"/>
  <c r="AA52" i="5"/>
  <c r="AB55" i="5"/>
  <c r="AD83" i="5"/>
  <c r="Y87" i="5"/>
  <c r="AE87" i="5" s="1"/>
  <c r="J99" i="4"/>
  <c r="U22" i="9"/>
  <c r="T22" i="9"/>
  <c r="V22" i="9"/>
  <c r="P57" i="9"/>
  <c r="O57" i="9"/>
  <c r="N57" i="9"/>
  <c r="M57" i="9"/>
  <c r="L57" i="9"/>
  <c r="K57" i="9"/>
  <c r="B2" i="9"/>
  <c r="C2" i="9" s="1"/>
  <c r="D2" i="9" s="1"/>
  <c r="E2" i="9" s="1"/>
  <c r="F2" i="9" s="1"/>
  <c r="G2" i="9" s="1"/>
  <c r="H2" i="9" s="1"/>
  <c r="I2" i="9" s="1"/>
  <c r="J2" i="9" s="1"/>
  <c r="K2" i="9" s="1"/>
  <c r="L2" i="9" s="1"/>
  <c r="M2" i="9" s="1"/>
  <c r="N2" i="9" s="1"/>
  <c r="O2" i="9" s="1"/>
  <c r="P2" i="9" s="1"/>
  <c r="Q2" i="9" s="1"/>
  <c r="R2" i="9" s="1"/>
  <c r="S2" i="9" s="1"/>
  <c r="T2" i="9" s="1"/>
  <c r="U2" i="9" s="1"/>
  <c r="V2" i="9" s="1"/>
  <c r="G218" i="5"/>
  <c r="I217" i="5"/>
  <c r="H217" i="5"/>
  <c r="G217" i="5"/>
  <c r="I216" i="5"/>
  <c r="H216" i="5"/>
  <c r="G216" i="5"/>
  <c r="I215" i="5"/>
  <c r="H215" i="5"/>
  <c r="G215" i="5"/>
  <c r="I211" i="5"/>
  <c r="H211" i="5"/>
  <c r="G211" i="5"/>
  <c r="AF34" i="5" l="1"/>
  <c r="AE34" i="5"/>
  <c r="AF6" i="5"/>
  <c r="AE6" i="5"/>
  <c r="I100" i="4"/>
  <c r="AE13" i="5"/>
  <c r="I101" i="4"/>
  <c r="AF77" i="5"/>
  <c r="AE77" i="5"/>
  <c r="AE28" i="5"/>
  <c r="AF28" i="5"/>
  <c r="AF58" i="5"/>
  <c r="AE58" i="5"/>
  <c r="AF30" i="5"/>
  <c r="AE30" i="5"/>
  <c r="AF41" i="5"/>
  <c r="AE41" i="5"/>
  <c r="AF59" i="5"/>
  <c r="AE59" i="5"/>
  <c r="AF37" i="5"/>
  <c r="AE37" i="5"/>
  <c r="AF60" i="5"/>
  <c r="AE60" i="5"/>
  <c r="I102" i="4"/>
  <c r="I103" i="4"/>
  <c r="J103" i="4"/>
  <c r="J102" i="4"/>
  <c r="AF179" i="5"/>
  <c r="AF178" i="5"/>
  <c r="AF177" i="5"/>
  <c r="AF176" i="5"/>
  <c r="AF175" i="5"/>
  <c r="AF174" i="5"/>
  <c r="AF173" i="5"/>
  <c r="AF172" i="5"/>
  <c r="AF171" i="5"/>
  <c r="AF169" i="5"/>
  <c r="AF168" i="5"/>
  <c r="AF167" i="5"/>
  <c r="AF166" i="5"/>
  <c r="AF165" i="5"/>
  <c r="AF164" i="5"/>
  <c r="AF163" i="5"/>
  <c r="AF162" i="5"/>
  <c r="AF161" i="5"/>
  <c r="AF160" i="5"/>
  <c r="AF159" i="5"/>
  <c r="AF158" i="5"/>
  <c r="AF157" i="5"/>
  <c r="AF156" i="5"/>
  <c r="AF154" i="5"/>
  <c r="AF153" i="5"/>
  <c r="AF152" i="5"/>
  <c r="AF151" i="5"/>
  <c r="AF150" i="5"/>
  <c r="AF149" i="5"/>
  <c r="AF148" i="5"/>
  <c r="AF147" i="5"/>
  <c r="AF146" i="5"/>
  <c r="AF145" i="5"/>
  <c r="AF144" i="5"/>
  <c r="AF143" i="5"/>
  <c r="AF142" i="5"/>
  <c r="AF141" i="5"/>
  <c r="AF5" i="5"/>
  <c r="AF140" i="5"/>
  <c r="AF139" i="5"/>
  <c r="AF138" i="5"/>
  <c r="AF137" i="5"/>
  <c r="AF136" i="5"/>
  <c r="AF135" i="5"/>
  <c r="AF132" i="5"/>
  <c r="AF130" i="5"/>
  <c r="AF129" i="5"/>
  <c r="AF128" i="5"/>
  <c r="AF127" i="5"/>
  <c r="AF126" i="5"/>
  <c r="AF125" i="5"/>
  <c r="AF124" i="5"/>
  <c r="AF123" i="5"/>
  <c r="AF122" i="5"/>
  <c r="AF121" i="5"/>
  <c r="AF120" i="5"/>
  <c r="AF119" i="5"/>
  <c r="AF118" i="5"/>
  <c r="AF117" i="5"/>
  <c r="AF116" i="5"/>
  <c r="AF115" i="5"/>
  <c r="AF114" i="5"/>
  <c r="AF113" i="5"/>
  <c r="AF112" i="5"/>
  <c r="AF111" i="5"/>
  <c r="AF110" i="5"/>
  <c r="AF109" i="5"/>
  <c r="AF108" i="5"/>
  <c r="AF44" i="5"/>
  <c r="AF107" i="5"/>
  <c r="AF106" i="5"/>
  <c r="AF105" i="5"/>
  <c r="AF104" i="5"/>
  <c r="AF103" i="5"/>
  <c r="AF102" i="5"/>
  <c r="AF101" i="5"/>
  <c r="AF100" i="5"/>
  <c r="AF99" i="5"/>
  <c r="AF98" i="5"/>
  <c r="AF97" i="5"/>
  <c r="AF96" i="5"/>
  <c r="AF95" i="5"/>
  <c r="AF94" i="5"/>
  <c r="AF93" i="5"/>
  <c r="AF92" i="5"/>
  <c r="AF91" i="5"/>
  <c r="AF90" i="5"/>
  <c r="AF89" i="5"/>
  <c r="AF88" i="5"/>
  <c r="AF87" i="5"/>
  <c r="AF86" i="5"/>
  <c r="AF85" i="5"/>
  <c r="AF84" i="5"/>
  <c r="AF83" i="5"/>
  <c r="AF82" i="5"/>
  <c r="AF81" i="5"/>
  <c r="AF80" i="5"/>
  <c r="AF79" i="5"/>
  <c r="AF74" i="5"/>
  <c r="AF76" i="5"/>
  <c r="AF73" i="5"/>
  <c r="AF69" i="5"/>
  <c r="AF67" i="5"/>
  <c r="AF65" i="5"/>
  <c r="AF64" i="5"/>
  <c r="AF62" i="5"/>
  <c r="AF61" i="5"/>
  <c r="AF63" i="5"/>
  <c r="AF57" i="5"/>
  <c r="AF56" i="5"/>
  <c r="AF55" i="5"/>
  <c r="AF54" i="5"/>
  <c r="AF53" i="5"/>
  <c r="AF52" i="5"/>
  <c r="AF51" i="5"/>
  <c r="AF50" i="5"/>
  <c r="AF49" i="5"/>
  <c r="AF48" i="5"/>
  <c r="AF47" i="5"/>
  <c r="AF46" i="5"/>
  <c r="AF45" i="5"/>
  <c r="AF43" i="5"/>
  <c r="AF42" i="5"/>
  <c r="AF40" i="5"/>
  <c r="AF29" i="5"/>
  <c r="AF39" i="5"/>
  <c r="AF38" i="5"/>
  <c r="AF36" i="5"/>
  <c r="AF33" i="5"/>
  <c r="AF31" i="5"/>
  <c r="AF26" i="5"/>
  <c r="AF23" i="5"/>
  <c r="AF21" i="5"/>
  <c r="AF18" i="5"/>
  <c r="AF17" i="5"/>
  <c r="AF15" i="5"/>
  <c r="AF11" i="5"/>
  <c r="AF35" i="5"/>
  <c r="AF27" i="5"/>
  <c r="AF22" i="5"/>
  <c r="N24" i="9" l="1"/>
  <c r="P24" i="9"/>
  <c r="L24" i="9"/>
  <c r="O24" i="9"/>
  <c r="M24" i="9"/>
  <c r="K24" i="9"/>
  <c r="N28" i="9"/>
  <c r="P28" i="9"/>
  <c r="L28" i="9"/>
  <c r="O28" i="9"/>
  <c r="M28" i="9"/>
  <c r="K28" i="9"/>
  <c r="N32" i="9"/>
  <c r="P32" i="9"/>
  <c r="L32" i="9"/>
  <c r="O32" i="9"/>
  <c r="M32" i="9"/>
  <c r="K32" i="9"/>
  <c r="N36" i="9"/>
  <c r="P36" i="9"/>
  <c r="L36" i="9"/>
  <c r="O36" i="9"/>
  <c r="M36" i="9"/>
  <c r="K36" i="9"/>
  <c r="N40" i="9"/>
  <c r="P40" i="9"/>
  <c r="L40" i="9"/>
  <c r="O40" i="9"/>
  <c r="M40" i="9"/>
  <c r="K40" i="9"/>
  <c r="N44" i="9"/>
  <c r="P44" i="9"/>
  <c r="L44" i="9"/>
  <c r="O44" i="9"/>
  <c r="M44" i="9"/>
  <c r="K44" i="9"/>
  <c r="N48" i="9"/>
  <c r="P48" i="9"/>
  <c r="L48" i="9"/>
  <c r="O48" i="9"/>
  <c r="M48" i="9"/>
  <c r="K48" i="9"/>
  <c r="N52" i="9"/>
  <c r="T49" i="5" s="1"/>
  <c r="P52" i="9"/>
  <c r="V49" i="5" s="1"/>
  <c r="L52" i="9"/>
  <c r="R49" i="5" s="1"/>
  <c r="O52" i="9"/>
  <c r="U49" i="5" s="1"/>
  <c r="M52" i="9"/>
  <c r="S49" i="5" s="1"/>
  <c r="K52" i="9"/>
  <c r="Q49" i="5" s="1"/>
  <c r="P61" i="9"/>
  <c r="L61" i="9"/>
  <c r="N61" i="9"/>
  <c r="M61" i="9"/>
  <c r="K61" i="9"/>
  <c r="O61" i="9"/>
  <c r="P65" i="9"/>
  <c r="L65" i="9"/>
  <c r="N65" i="9"/>
  <c r="M65" i="9"/>
  <c r="K65" i="9"/>
  <c r="O65" i="9"/>
  <c r="P69" i="9"/>
  <c r="L69" i="9"/>
  <c r="N69" i="9"/>
  <c r="M69" i="9"/>
  <c r="K69" i="9"/>
  <c r="O69" i="9"/>
  <c r="P73" i="9"/>
  <c r="L73" i="9"/>
  <c r="N73" i="9"/>
  <c r="M73" i="9"/>
  <c r="K73" i="9"/>
  <c r="O73" i="9"/>
  <c r="P77" i="9"/>
  <c r="L77" i="9"/>
  <c r="N77" i="9"/>
  <c r="M77" i="9"/>
  <c r="K77" i="9"/>
  <c r="O77" i="9"/>
  <c r="P81" i="9"/>
  <c r="L81" i="9"/>
  <c r="N81" i="9"/>
  <c r="M81" i="9"/>
  <c r="K81" i="9"/>
  <c r="O81" i="9"/>
  <c r="P85" i="9"/>
  <c r="V116" i="5" s="1"/>
  <c r="L85" i="9"/>
  <c r="R116" i="5" s="1"/>
  <c r="N85" i="9"/>
  <c r="T116" i="5" s="1"/>
  <c r="M85" i="9"/>
  <c r="S116" i="5" s="1"/>
  <c r="K85" i="9"/>
  <c r="Q116" i="5" s="1"/>
  <c r="O85" i="9"/>
  <c r="U116" i="5" s="1"/>
  <c r="P89" i="9"/>
  <c r="L89" i="9"/>
  <c r="N89" i="9"/>
  <c r="M89" i="9"/>
  <c r="K89" i="9"/>
  <c r="O89" i="9"/>
  <c r="P93" i="9"/>
  <c r="L93" i="9"/>
  <c r="N93" i="9"/>
  <c r="M93" i="9"/>
  <c r="K93" i="9"/>
  <c r="O93" i="9"/>
  <c r="P97" i="9"/>
  <c r="L97" i="9"/>
  <c r="N97" i="9"/>
  <c r="M97" i="9"/>
  <c r="K97" i="9"/>
  <c r="O97" i="9"/>
  <c r="P101" i="9"/>
  <c r="L101" i="9"/>
  <c r="N101" i="9"/>
  <c r="M101" i="9"/>
  <c r="K101" i="9"/>
  <c r="O101" i="9"/>
  <c r="P105" i="9"/>
  <c r="L105" i="9"/>
  <c r="K105" i="9"/>
  <c r="O105" i="9"/>
  <c r="N105" i="9"/>
  <c r="M105" i="9"/>
  <c r="P109" i="9"/>
  <c r="L109" i="9"/>
  <c r="O109" i="9"/>
  <c r="K109" i="9"/>
  <c r="N109" i="9"/>
  <c r="M109" i="9"/>
  <c r="M113" i="9"/>
  <c r="P113" i="9"/>
  <c r="L113" i="9"/>
  <c r="K113" i="9"/>
  <c r="O113" i="9"/>
  <c r="N113" i="9"/>
  <c r="P117" i="9"/>
  <c r="L117" i="9"/>
  <c r="K117" i="9"/>
  <c r="O117" i="9"/>
  <c r="N117" i="9"/>
  <c r="M117" i="9"/>
  <c r="P121" i="9"/>
  <c r="L121" i="9"/>
  <c r="O121" i="9"/>
  <c r="K121" i="9"/>
  <c r="N121" i="9"/>
  <c r="M121" i="9"/>
  <c r="M125" i="9"/>
  <c r="P125" i="9"/>
  <c r="L125" i="9"/>
  <c r="K125" i="9"/>
  <c r="O125" i="9"/>
  <c r="N125" i="9"/>
  <c r="M129" i="9"/>
  <c r="P129" i="9"/>
  <c r="L129" i="9"/>
  <c r="O129" i="9"/>
  <c r="K129" i="9"/>
  <c r="N129" i="9"/>
  <c r="M134" i="9"/>
  <c r="P134" i="9"/>
  <c r="L134" i="9"/>
  <c r="O134" i="9"/>
  <c r="K134" i="9"/>
  <c r="N134" i="9"/>
  <c r="M138" i="9"/>
  <c r="P138" i="9"/>
  <c r="L138" i="9"/>
  <c r="O138" i="9"/>
  <c r="K138" i="9"/>
  <c r="N138" i="9"/>
  <c r="M142" i="9"/>
  <c r="P142" i="9"/>
  <c r="L142" i="9"/>
  <c r="O142" i="9"/>
  <c r="K142" i="9"/>
  <c r="N142" i="9"/>
  <c r="M146" i="9"/>
  <c r="P146" i="9"/>
  <c r="L146" i="9"/>
  <c r="O146" i="9"/>
  <c r="K146" i="9"/>
  <c r="N146" i="9"/>
  <c r="M150" i="9"/>
  <c r="P150" i="9"/>
  <c r="L150" i="9"/>
  <c r="O150" i="9"/>
  <c r="K150" i="9"/>
  <c r="N150" i="9"/>
  <c r="M154" i="9"/>
  <c r="P154" i="9"/>
  <c r="L154" i="9"/>
  <c r="O154" i="9"/>
  <c r="K154" i="9"/>
  <c r="N154" i="9"/>
  <c r="M158" i="9"/>
  <c r="P158" i="9"/>
  <c r="L158" i="9"/>
  <c r="O158" i="9"/>
  <c r="K158" i="9"/>
  <c r="N158" i="9"/>
  <c r="M162" i="9"/>
  <c r="P162" i="9"/>
  <c r="L162" i="9"/>
  <c r="O162" i="9"/>
  <c r="K162" i="9"/>
  <c r="N162" i="9"/>
  <c r="M174" i="9"/>
  <c r="P174" i="9"/>
  <c r="L174" i="9"/>
  <c r="O174" i="9"/>
  <c r="K174" i="9"/>
  <c r="N174" i="9"/>
  <c r="M178" i="9"/>
  <c r="P178" i="9"/>
  <c r="L178" i="9"/>
  <c r="O178" i="9"/>
  <c r="K178" i="9"/>
  <c r="N178" i="9"/>
  <c r="M182" i="9"/>
  <c r="P182" i="9"/>
  <c r="L182" i="9"/>
  <c r="O182" i="9"/>
  <c r="K182" i="9"/>
  <c r="N182" i="9"/>
  <c r="M186" i="9"/>
  <c r="P186" i="9"/>
  <c r="L186" i="9"/>
  <c r="O186" i="9"/>
  <c r="K186" i="9"/>
  <c r="N186" i="9"/>
  <c r="M190" i="9"/>
  <c r="P190" i="9"/>
  <c r="L190" i="9"/>
  <c r="O190" i="9"/>
  <c r="K190" i="9"/>
  <c r="N190" i="9"/>
  <c r="M194" i="9"/>
  <c r="P194" i="9"/>
  <c r="L194" i="9"/>
  <c r="O194" i="9"/>
  <c r="K194" i="9"/>
  <c r="N194" i="9"/>
  <c r="M198" i="9"/>
  <c r="P198" i="9"/>
  <c r="L198" i="9"/>
  <c r="O198" i="9"/>
  <c r="K198" i="9"/>
  <c r="N198" i="9"/>
  <c r="M202" i="9"/>
  <c r="P202" i="9"/>
  <c r="L202" i="9"/>
  <c r="O202" i="9"/>
  <c r="K202" i="9"/>
  <c r="N202" i="9"/>
  <c r="M206" i="9"/>
  <c r="P206" i="9"/>
  <c r="L206" i="9"/>
  <c r="O206" i="9"/>
  <c r="K206" i="9"/>
  <c r="N206" i="9"/>
  <c r="M210" i="9"/>
  <c r="P210" i="9"/>
  <c r="L210" i="9"/>
  <c r="O210" i="9"/>
  <c r="K210" i="9"/>
  <c r="N210" i="9"/>
  <c r="P214" i="9"/>
  <c r="O214" i="9"/>
  <c r="K214" i="9"/>
  <c r="N214" i="9"/>
  <c r="M214" i="9"/>
  <c r="L214" i="9"/>
  <c r="P218" i="9"/>
  <c r="L218" i="9"/>
  <c r="O218" i="9"/>
  <c r="K218" i="9"/>
  <c r="N218" i="9"/>
  <c r="M218" i="9"/>
  <c r="P222" i="9"/>
  <c r="L222" i="9"/>
  <c r="O222" i="9"/>
  <c r="K222" i="9"/>
  <c r="N222" i="9"/>
  <c r="M222" i="9"/>
  <c r="P226" i="9"/>
  <c r="L226" i="9"/>
  <c r="O226" i="9"/>
  <c r="K226" i="9"/>
  <c r="N226" i="9"/>
  <c r="M226" i="9"/>
  <c r="P230" i="9"/>
  <c r="L230" i="9"/>
  <c r="O230" i="9"/>
  <c r="K230" i="9"/>
  <c r="N230" i="9"/>
  <c r="M230" i="9"/>
  <c r="P234" i="9"/>
  <c r="L234" i="9"/>
  <c r="O234" i="9"/>
  <c r="K234" i="9"/>
  <c r="N234" i="9"/>
  <c r="M234" i="9"/>
  <c r="P238" i="9"/>
  <c r="V99" i="5" s="1"/>
  <c r="L238" i="9"/>
  <c r="R99" i="5" s="1"/>
  <c r="O238" i="9"/>
  <c r="U99" i="5" s="1"/>
  <c r="K238" i="9"/>
  <c r="Q99" i="5" s="1"/>
  <c r="N238" i="9"/>
  <c r="T99" i="5" s="1"/>
  <c r="M238" i="9"/>
  <c r="S99" i="5" s="1"/>
  <c r="P242" i="9"/>
  <c r="L242" i="9"/>
  <c r="O242" i="9"/>
  <c r="K242" i="9"/>
  <c r="N242" i="9"/>
  <c r="M242" i="9"/>
  <c r="P246" i="9"/>
  <c r="L246" i="9"/>
  <c r="O246" i="9"/>
  <c r="K246" i="9"/>
  <c r="N246" i="9"/>
  <c r="M246" i="9"/>
  <c r="P250" i="9"/>
  <c r="L250" i="9"/>
  <c r="O250" i="9"/>
  <c r="K250" i="9"/>
  <c r="N250" i="9"/>
  <c r="M250" i="9"/>
  <c r="P254" i="9"/>
  <c r="L254" i="9"/>
  <c r="O254" i="9"/>
  <c r="K254" i="9"/>
  <c r="N254" i="9"/>
  <c r="M254" i="9"/>
  <c r="P258" i="9"/>
  <c r="L258" i="9"/>
  <c r="O258" i="9"/>
  <c r="K258" i="9"/>
  <c r="N258" i="9"/>
  <c r="M258" i="9"/>
  <c r="N262" i="9"/>
  <c r="M262" i="9"/>
  <c r="P262" i="9"/>
  <c r="L262" i="9"/>
  <c r="O262" i="9"/>
  <c r="K262" i="9"/>
  <c r="N266" i="9"/>
  <c r="M266" i="9"/>
  <c r="P266" i="9"/>
  <c r="L266" i="9"/>
  <c r="O266" i="9"/>
  <c r="K266" i="9"/>
  <c r="N270" i="9"/>
  <c r="M270" i="9"/>
  <c r="P270" i="9"/>
  <c r="L270" i="9"/>
  <c r="O270" i="9"/>
  <c r="K270" i="9"/>
  <c r="N274" i="9"/>
  <c r="M274" i="9"/>
  <c r="P274" i="9"/>
  <c r="L274" i="9"/>
  <c r="O274" i="9"/>
  <c r="K274" i="9"/>
  <c r="N278" i="9"/>
  <c r="M278" i="9"/>
  <c r="P278" i="9"/>
  <c r="L278" i="9"/>
  <c r="O278" i="9"/>
  <c r="K278" i="9"/>
  <c r="N282" i="9"/>
  <c r="M282" i="9"/>
  <c r="P282" i="9"/>
  <c r="L282" i="9"/>
  <c r="O282" i="9"/>
  <c r="K282" i="9"/>
  <c r="N286" i="9"/>
  <c r="M286" i="9"/>
  <c r="P286" i="9"/>
  <c r="L286" i="9"/>
  <c r="O286" i="9"/>
  <c r="K286" i="9"/>
  <c r="N290" i="9"/>
  <c r="M290" i="9"/>
  <c r="P290" i="9"/>
  <c r="L290" i="9"/>
  <c r="O290" i="9"/>
  <c r="K290" i="9"/>
  <c r="N294" i="9"/>
  <c r="M294" i="9"/>
  <c r="P294" i="9"/>
  <c r="L294" i="9"/>
  <c r="O294" i="9"/>
  <c r="K294" i="9"/>
  <c r="N298" i="9"/>
  <c r="M298" i="9"/>
  <c r="P298" i="9"/>
  <c r="L298" i="9"/>
  <c r="O298" i="9"/>
  <c r="K298" i="9"/>
  <c r="N302" i="9"/>
  <c r="M302" i="9"/>
  <c r="P302" i="9"/>
  <c r="L302" i="9"/>
  <c r="O302" i="9"/>
  <c r="K302" i="9"/>
  <c r="N306" i="9"/>
  <c r="M306" i="9"/>
  <c r="P306" i="9"/>
  <c r="L306" i="9"/>
  <c r="O306" i="9"/>
  <c r="K306" i="9"/>
  <c r="N310" i="9"/>
  <c r="M310" i="9"/>
  <c r="P310" i="9"/>
  <c r="L310" i="9"/>
  <c r="O310" i="9"/>
  <c r="K310" i="9"/>
  <c r="N314" i="9"/>
  <c r="M314" i="9"/>
  <c r="P314" i="9"/>
  <c r="L314" i="9"/>
  <c r="O314" i="9"/>
  <c r="K314" i="9"/>
  <c r="N318" i="9"/>
  <c r="M318" i="9"/>
  <c r="P318" i="9"/>
  <c r="L318" i="9"/>
  <c r="O318" i="9"/>
  <c r="K318" i="9"/>
  <c r="N322" i="9"/>
  <c r="M322" i="9"/>
  <c r="P322" i="9"/>
  <c r="L322" i="9"/>
  <c r="O322" i="9"/>
  <c r="K322" i="9"/>
  <c r="N326" i="9"/>
  <c r="M326" i="9"/>
  <c r="P326" i="9"/>
  <c r="L326" i="9"/>
  <c r="O326" i="9"/>
  <c r="K326" i="9"/>
  <c r="N330" i="9"/>
  <c r="M330" i="9"/>
  <c r="P330" i="9"/>
  <c r="L330" i="9"/>
  <c r="O330" i="9"/>
  <c r="K330" i="9"/>
  <c r="N334" i="9"/>
  <c r="M334" i="9"/>
  <c r="P334" i="9"/>
  <c r="L334" i="9"/>
  <c r="O334" i="9"/>
  <c r="K334" i="9"/>
  <c r="N338" i="9"/>
  <c r="M338" i="9"/>
  <c r="P338" i="9"/>
  <c r="L338" i="9"/>
  <c r="O338" i="9"/>
  <c r="K338" i="9"/>
  <c r="N342" i="9"/>
  <c r="M342" i="9"/>
  <c r="P342" i="9"/>
  <c r="L342" i="9"/>
  <c r="O342" i="9"/>
  <c r="K342" i="9"/>
  <c r="N346" i="9"/>
  <c r="M346" i="9"/>
  <c r="P346" i="9"/>
  <c r="L346" i="9"/>
  <c r="O346" i="9"/>
  <c r="K346" i="9"/>
  <c r="N350" i="9"/>
  <c r="M350" i="9"/>
  <c r="P350" i="9"/>
  <c r="L350" i="9"/>
  <c r="O350" i="9"/>
  <c r="K350" i="9"/>
  <c r="N354" i="9"/>
  <c r="M354" i="9"/>
  <c r="P354" i="9"/>
  <c r="L354" i="9"/>
  <c r="O354" i="9"/>
  <c r="K354" i="9"/>
  <c r="N358" i="9"/>
  <c r="M358" i="9"/>
  <c r="P358" i="9"/>
  <c r="L358" i="9"/>
  <c r="O358" i="9"/>
  <c r="K358" i="9"/>
  <c r="N362" i="9"/>
  <c r="M362" i="9"/>
  <c r="P362" i="9"/>
  <c r="L362" i="9"/>
  <c r="O362" i="9"/>
  <c r="K362" i="9"/>
  <c r="N366" i="9"/>
  <c r="M366" i="9"/>
  <c r="P366" i="9"/>
  <c r="L366" i="9"/>
  <c r="O366" i="9"/>
  <c r="K366" i="9"/>
  <c r="N370" i="9"/>
  <c r="M370" i="9"/>
  <c r="P370" i="9"/>
  <c r="L370" i="9"/>
  <c r="O370" i="9"/>
  <c r="K370" i="9"/>
  <c r="P375" i="9"/>
  <c r="L375" i="9"/>
  <c r="O375" i="9"/>
  <c r="K375" i="9"/>
  <c r="N375" i="9"/>
  <c r="M375" i="9"/>
  <c r="P379" i="9"/>
  <c r="L379" i="9"/>
  <c r="O379" i="9"/>
  <c r="K379" i="9"/>
  <c r="N379" i="9"/>
  <c r="M379" i="9"/>
  <c r="P391" i="9"/>
  <c r="L391" i="9"/>
  <c r="O391" i="9"/>
  <c r="K391" i="9"/>
  <c r="N391" i="9"/>
  <c r="M391" i="9"/>
  <c r="P395" i="9"/>
  <c r="L395" i="9"/>
  <c r="O395" i="9"/>
  <c r="K395" i="9"/>
  <c r="N395" i="9"/>
  <c r="M395" i="9"/>
  <c r="P399" i="9"/>
  <c r="L399" i="9"/>
  <c r="O399" i="9"/>
  <c r="K399" i="9"/>
  <c r="N399" i="9"/>
  <c r="M399" i="9"/>
  <c r="P403" i="9"/>
  <c r="L403" i="9"/>
  <c r="O403" i="9"/>
  <c r="K403" i="9"/>
  <c r="N403" i="9"/>
  <c r="M403" i="9"/>
  <c r="P407" i="9"/>
  <c r="L407" i="9"/>
  <c r="O407" i="9"/>
  <c r="K407" i="9"/>
  <c r="N407" i="9"/>
  <c r="M407" i="9"/>
  <c r="P411" i="9"/>
  <c r="L411" i="9"/>
  <c r="O411" i="9"/>
  <c r="K411" i="9"/>
  <c r="N411" i="9"/>
  <c r="M411" i="9"/>
  <c r="P415" i="9"/>
  <c r="L415" i="9"/>
  <c r="O415" i="9"/>
  <c r="K415" i="9"/>
  <c r="N415" i="9"/>
  <c r="M415" i="9"/>
  <c r="P419" i="9"/>
  <c r="L419" i="9"/>
  <c r="O419" i="9"/>
  <c r="K419" i="9"/>
  <c r="N419" i="9"/>
  <c r="M419" i="9"/>
  <c r="P423" i="9"/>
  <c r="L423" i="9"/>
  <c r="O423" i="9"/>
  <c r="K423" i="9"/>
  <c r="N423" i="9"/>
  <c r="M423" i="9"/>
  <c r="P427" i="9"/>
  <c r="L427" i="9"/>
  <c r="O427" i="9"/>
  <c r="K427" i="9"/>
  <c r="N427" i="9"/>
  <c r="M427" i="9"/>
  <c r="P431" i="9"/>
  <c r="L431" i="9"/>
  <c r="O431" i="9"/>
  <c r="K431" i="9"/>
  <c r="N431" i="9"/>
  <c r="M431" i="9"/>
  <c r="P435" i="9"/>
  <c r="L435" i="9"/>
  <c r="O435" i="9"/>
  <c r="K435" i="9"/>
  <c r="N435" i="9"/>
  <c r="M435" i="9"/>
  <c r="P439" i="9"/>
  <c r="L439" i="9"/>
  <c r="O439" i="9"/>
  <c r="K439" i="9"/>
  <c r="N439" i="9"/>
  <c r="M439" i="9"/>
  <c r="P443" i="9"/>
  <c r="L443" i="9"/>
  <c r="O443" i="9"/>
  <c r="K443" i="9"/>
  <c r="N443" i="9"/>
  <c r="M443" i="9"/>
  <c r="P447" i="9"/>
  <c r="L447" i="9"/>
  <c r="O447" i="9"/>
  <c r="K447" i="9"/>
  <c r="N447" i="9"/>
  <c r="M447" i="9"/>
  <c r="P451" i="9"/>
  <c r="L451" i="9"/>
  <c r="O451" i="9"/>
  <c r="K451" i="9"/>
  <c r="N451" i="9"/>
  <c r="M451" i="9"/>
  <c r="P455" i="9"/>
  <c r="L455" i="9"/>
  <c r="O455" i="9"/>
  <c r="K455" i="9"/>
  <c r="N455" i="9"/>
  <c r="M455" i="9"/>
  <c r="P459" i="9"/>
  <c r="L459" i="9"/>
  <c r="O459" i="9"/>
  <c r="K459" i="9"/>
  <c r="N459" i="9"/>
  <c r="M459" i="9"/>
  <c r="P463" i="9"/>
  <c r="L463" i="9"/>
  <c r="O463" i="9"/>
  <c r="K463" i="9"/>
  <c r="N463" i="9"/>
  <c r="M463" i="9"/>
  <c r="P467" i="9"/>
  <c r="L467" i="9"/>
  <c r="O467" i="9"/>
  <c r="K467" i="9"/>
  <c r="N467" i="9"/>
  <c r="M467" i="9"/>
  <c r="P471" i="9"/>
  <c r="L471" i="9"/>
  <c r="O471" i="9"/>
  <c r="K471" i="9"/>
  <c r="N471" i="9"/>
  <c r="M471" i="9"/>
  <c r="P475" i="9"/>
  <c r="L475" i="9"/>
  <c r="O475" i="9"/>
  <c r="K475" i="9"/>
  <c r="N475" i="9"/>
  <c r="M475" i="9"/>
  <c r="P479" i="9"/>
  <c r="L479" i="9"/>
  <c r="O479" i="9"/>
  <c r="K479" i="9"/>
  <c r="N479" i="9"/>
  <c r="M479" i="9"/>
  <c r="P483" i="9"/>
  <c r="L483" i="9"/>
  <c r="O483" i="9"/>
  <c r="K483" i="9"/>
  <c r="N483" i="9"/>
  <c r="M483" i="9"/>
  <c r="P487" i="9"/>
  <c r="L487" i="9"/>
  <c r="O487" i="9"/>
  <c r="K487" i="9"/>
  <c r="N487" i="9"/>
  <c r="M487" i="9"/>
  <c r="P491" i="9"/>
  <c r="L491" i="9"/>
  <c r="O491" i="9"/>
  <c r="K491" i="9"/>
  <c r="N491" i="9"/>
  <c r="M491" i="9"/>
  <c r="P495" i="9"/>
  <c r="L495" i="9"/>
  <c r="O495" i="9"/>
  <c r="K495" i="9"/>
  <c r="N495" i="9"/>
  <c r="M495" i="9"/>
  <c r="M499" i="9"/>
  <c r="P499" i="9"/>
  <c r="L499" i="9"/>
  <c r="O499" i="9"/>
  <c r="K499" i="9"/>
  <c r="N499" i="9"/>
  <c r="M503" i="9"/>
  <c r="P503" i="9"/>
  <c r="L503" i="9"/>
  <c r="O503" i="9"/>
  <c r="K503" i="9"/>
  <c r="N503" i="9"/>
  <c r="M507" i="9"/>
  <c r="S7" i="5" s="1"/>
  <c r="P507" i="9"/>
  <c r="V7" i="5" s="1"/>
  <c r="L507" i="9"/>
  <c r="R7" i="5" s="1"/>
  <c r="O507" i="9"/>
  <c r="U7" i="5" s="1"/>
  <c r="K507" i="9"/>
  <c r="Q7" i="5" s="1"/>
  <c r="N507" i="9"/>
  <c r="T7" i="5" s="1"/>
  <c r="M515" i="9"/>
  <c r="P515" i="9"/>
  <c r="L515" i="9"/>
  <c r="O515" i="9"/>
  <c r="K515" i="9"/>
  <c r="N515" i="9"/>
  <c r="M519" i="9"/>
  <c r="P519" i="9"/>
  <c r="L519" i="9"/>
  <c r="O519" i="9"/>
  <c r="K519" i="9"/>
  <c r="N519" i="9"/>
  <c r="M523" i="9"/>
  <c r="P523" i="9"/>
  <c r="L523" i="9"/>
  <c r="O523" i="9"/>
  <c r="K523" i="9"/>
  <c r="N523" i="9"/>
  <c r="M527" i="9"/>
  <c r="S168" i="5" s="1"/>
  <c r="P527" i="9"/>
  <c r="V168" i="5" s="1"/>
  <c r="L527" i="9"/>
  <c r="R168" i="5" s="1"/>
  <c r="O527" i="9"/>
  <c r="U168" i="5" s="1"/>
  <c r="K527" i="9"/>
  <c r="Q168" i="5" s="1"/>
  <c r="N527" i="9"/>
  <c r="T168" i="5" s="1"/>
  <c r="M531" i="9"/>
  <c r="P531" i="9"/>
  <c r="L531" i="9"/>
  <c r="O531" i="9"/>
  <c r="K531" i="9"/>
  <c r="N531" i="9"/>
  <c r="M535" i="9"/>
  <c r="P535" i="9"/>
  <c r="L535" i="9"/>
  <c r="O535" i="9"/>
  <c r="K535" i="9"/>
  <c r="N535" i="9"/>
  <c r="M539" i="9"/>
  <c r="P539" i="9"/>
  <c r="L539" i="9"/>
  <c r="O539" i="9"/>
  <c r="K539" i="9"/>
  <c r="N539" i="9"/>
  <c r="M543" i="9"/>
  <c r="P543" i="9"/>
  <c r="L543" i="9"/>
  <c r="O543" i="9"/>
  <c r="K543" i="9"/>
  <c r="N543" i="9"/>
  <c r="M547" i="9"/>
  <c r="P547" i="9"/>
  <c r="L547" i="9"/>
  <c r="O547" i="9"/>
  <c r="K547" i="9"/>
  <c r="N547" i="9"/>
  <c r="M551" i="9"/>
  <c r="P551" i="9"/>
  <c r="L551" i="9"/>
  <c r="O551" i="9"/>
  <c r="K551" i="9"/>
  <c r="N551" i="9"/>
  <c r="M555" i="9"/>
  <c r="P555" i="9"/>
  <c r="L555" i="9"/>
  <c r="O555" i="9"/>
  <c r="K555" i="9"/>
  <c r="N555" i="9"/>
  <c r="M559" i="9"/>
  <c r="P559" i="9"/>
  <c r="L559" i="9"/>
  <c r="O559" i="9"/>
  <c r="K559" i="9"/>
  <c r="N559" i="9"/>
  <c r="M563" i="9"/>
  <c r="P563" i="9"/>
  <c r="L563" i="9"/>
  <c r="O563" i="9"/>
  <c r="K563" i="9"/>
  <c r="N563" i="9"/>
  <c r="M567" i="9"/>
  <c r="P567" i="9"/>
  <c r="L567" i="9"/>
  <c r="O567" i="9"/>
  <c r="K567" i="9"/>
  <c r="N567" i="9"/>
  <c r="M571" i="9"/>
  <c r="P571" i="9"/>
  <c r="L571" i="9"/>
  <c r="O571" i="9"/>
  <c r="K571" i="9"/>
  <c r="N571" i="9"/>
  <c r="M575" i="9"/>
  <c r="P575" i="9"/>
  <c r="L575" i="9"/>
  <c r="O575" i="9"/>
  <c r="K575" i="9"/>
  <c r="N575" i="9"/>
  <c r="M579" i="9"/>
  <c r="P579" i="9"/>
  <c r="L579" i="9"/>
  <c r="O579" i="9"/>
  <c r="K579" i="9"/>
  <c r="N579" i="9"/>
  <c r="M583" i="9"/>
  <c r="P583" i="9"/>
  <c r="L583" i="9"/>
  <c r="O583" i="9"/>
  <c r="K583" i="9"/>
  <c r="N583" i="9"/>
  <c r="M587" i="9"/>
  <c r="P587" i="9"/>
  <c r="L587" i="9"/>
  <c r="O587" i="9"/>
  <c r="K587" i="9"/>
  <c r="N587" i="9"/>
  <c r="M591" i="9"/>
  <c r="P591" i="9"/>
  <c r="L591" i="9"/>
  <c r="O591" i="9"/>
  <c r="K591" i="9"/>
  <c r="N591" i="9"/>
  <c r="M595" i="9"/>
  <c r="P595" i="9"/>
  <c r="L595" i="9"/>
  <c r="O595" i="9"/>
  <c r="K595" i="9"/>
  <c r="N595" i="9"/>
  <c r="M599" i="9"/>
  <c r="P599" i="9"/>
  <c r="L599" i="9"/>
  <c r="O599" i="9"/>
  <c r="K599" i="9"/>
  <c r="N599" i="9"/>
  <c r="M603" i="9"/>
  <c r="P603" i="9"/>
  <c r="L603" i="9"/>
  <c r="O603" i="9"/>
  <c r="K603" i="9"/>
  <c r="N603" i="9"/>
  <c r="M607" i="9"/>
  <c r="P607" i="9"/>
  <c r="L607" i="9"/>
  <c r="O607" i="9"/>
  <c r="K607" i="9"/>
  <c r="N607" i="9"/>
  <c r="M611" i="9"/>
  <c r="P611" i="9"/>
  <c r="L611" i="9"/>
  <c r="O611" i="9"/>
  <c r="K611" i="9"/>
  <c r="N611" i="9"/>
  <c r="M615" i="9"/>
  <c r="P615" i="9"/>
  <c r="L615" i="9"/>
  <c r="O615" i="9"/>
  <c r="K615" i="9"/>
  <c r="N615" i="9"/>
  <c r="M619" i="9"/>
  <c r="P619" i="9"/>
  <c r="L619" i="9"/>
  <c r="O619" i="9"/>
  <c r="K619" i="9"/>
  <c r="N619" i="9"/>
  <c r="M623" i="9"/>
  <c r="P623" i="9"/>
  <c r="L623" i="9"/>
  <c r="O623" i="9"/>
  <c r="K623" i="9"/>
  <c r="N623" i="9"/>
  <c r="M627" i="9"/>
  <c r="P627" i="9"/>
  <c r="L627" i="9"/>
  <c r="O627" i="9"/>
  <c r="K627" i="9"/>
  <c r="N627" i="9"/>
  <c r="M631" i="9"/>
  <c r="S138" i="5" s="1"/>
  <c r="P631" i="9"/>
  <c r="V138" i="5" s="1"/>
  <c r="L631" i="9"/>
  <c r="R138" i="5" s="1"/>
  <c r="O631" i="9"/>
  <c r="U138" i="5" s="1"/>
  <c r="K631" i="9"/>
  <c r="Q138" i="5" s="1"/>
  <c r="N631" i="9"/>
  <c r="T138" i="5" s="1"/>
  <c r="M635" i="9"/>
  <c r="P635" i="9"/>
  <c r="L635" i="9"/>
  <c r="O635" i="9"/>
  <c r="K635" i="9"/>
  <c r="N635" i="9"/>
  <c r="M639" i="9"/>
  <c r="P639" i="9"/>
  <c r="L639" i="9"/>
  <c r="O639" i="9"/>
  <c r="K639" i="9"/>
  <c r="N639" i="9"/>
  <c r="M643" i="9"/>
  <c r="P643" i="9"/>
  <c r="L643" i="9"/>
  <c r="O643" i="9"/>
  <c r="K643" i="9"/>
  <c r="N643" i="9"/>
  <c r="M647" i="9"/>
  <c r="P647" i="9"/>
  <c r="L647" i="9"/>
  <c r="O647" i="9"/>
  <c r="K647" i="9"/>
  <c r="N647" i="9"/>
  <c r="M651" i="9"/>
  <c r="P651" i="9"/>
  <c r="L651" i="9"/>
  <c r="O651" i="9"/>
  <c r="K651" i="9"/>
  <c r="N651" i="9"/>
  <c r="M655" i="9"/>
  <c r="P655" i="9"/>
  <c r="L655" i="9"/>
  <c r="O655" i="9"/>
  <c r="K655" i="9"/>
  <c r="N655" i="9"/>
  <c r="M659" i="9"/>
  <c r="P659" i="9"/>
  <c r="L659" i="9"/>
  <c r="O659" i="9"/>
  <c r="K659" i="9"/>
  <c r="N659" i="9"/>
  <c r="M663" i="9"/>
  <c r="P663" i="9"/>
  <c r="L663" i="9"/>
  <c r="O663" i="9"/>
  <c r="K663" i="9"/>
  <c r="N663" i="9"/>
  <c r="M667" i="9"/>
  <c r="P667" i="9"/>
  <c r="L667" i="9"/>
  <c r="O667" i="9"/>
  <c r="K667" i="9"/>
  <c r="N667" i="9"/>
  <c r="M671" i="9"/>
  <c r="P671" i="9"/>
  <c r="L671" i="9"/>
  <c r="O671" i="9"/>
  <c r="K671" i="9"/>
  <c r="N671" i="9"/>
  <c r="M676" i="9"/>
  <c r="P676" i="9"/>
  <c r="L676" i="9"/>
  <c r="O676" i="9"/>
  <c r="K676" i="9"/>
  <c r="N676" i="9"/>
  <c r="M680" i="9"/>
  <c r="P680" i="9"/>
  <c r="L680" i="9"/>
  <c r="O680" i="9"/>
  <c r="K680" i="9"/>
  <c r="N680" i="9"/>
  <c r="M684" i="9"/>
  <c r="P684" i="9"/>
  <c r="L684" i="9"/>
  <c r="O684" i="9"/>
  <c r="K684" i="9"/>
  <c r="N684" i="9"/>
  <c r="M692" i="9"/>
  <c r="P692" i="9"/>
  <c r="L692" i="9"/>
  <c r="O692" i="9"/>
  <c r="K692" i="9"/>
  <c r="N692" i="9"/>
  <c r="M696" i="9"/>
  <c r="P696" i="9"/>
  <c r="L696" i="9"/>
  <c r="O696" i="9"/>
  <c r="K696" i="9"/>
  <c r="N696" i="9"/>
  <c r="M700" i="9"/>
  <c r="P700" i="9"/>
  <c r="L700" i="9"/>
  <c r="O700" i="9"/>
  <c r="K700" i="9"/>
  <c r="N700" i="9"/>
  <c r="M727" i="9"/>
  <c r="S102" i="5" s="1"/>
  <c r="P727" i="9"/>
  <c r="V102" i="5" s="1"/>
  <c r="L727" i="9"/>
  <c r="R102" i="5" s="1"/>
  <c r="O727" i="9"/>
  <c r="U102" i="5" s="1"/>
  <c r="K727" i="9"/>
  <c r="Q102" i="5" s="1"/>
  <c r="N727" i="9"/>
  <c r="T102" i="5" s="1"/>
  <c r="M731" i="9"/>
  <c r="S125" i="5" s="1"/>
  <c r="P731" i="9"/>
  <c r="V125" i="5" s="1"/>
  <c r="L731" i="9"/>
  <c r="R125" i="5" s="1"/>
  <c r="O731" i="9"/>
  <c r="U125" i="5" s="1"/>
  <c r="K731" i="9"/>
  <c r="Q125" i="5" s="1"/>
  <c r="N731" i="9"/>
  <c r="T125" i="5" s="1"/>
  <c r="M735" i="9"/>
  <c r="P735" i="9"/>
  <c r="L735" i="9"/>
  <c r="O735" i="9"/>
  <c r="K735" i="9"/>
  <c r="N735" i="9"/>
  <c r="M739" i="9"/>
  <c r="P739" i="9"/>
  <c r="L739" i="9"/>
  <c r="O739" i="9"/>
  <c r="K739" i="9"/>
  <c r="N739" i="9"/>
  <c r="M743" i="9"/>
  <c r="P743" i="9"/>
  <c r="L743" i="9"/>
  <c r="O743" i="9"/>
  <c r="K743" i="9"/>
  <c r="N743" i="9"/>
  <c r="M747" i="9"/>
  <c r="P747" i="9"/>
  <c r="L747" i="9"/>
  <c r="O747" i="9"/>
  <c r="K747" i="9"/>
  <c r="N747" i="9"/>
  <c r="M751" i="9"/>
  <c r="P751" i="9"/>
  <c r="L751" i="9"/>
  <c r="O751" i="9"/>
  <c r="K751" i="9"/>
  <c r="N751" i="9"/>
  <c r="M755" i="9"/>
  <c r="P755" i="9"/>
  <c r="L755" i="9"/>
  <c r="O755" i="9"/>
  <c r="K755" i="9"/>
  <c r="N755" i="9"/>
  <c r="M759" i="9"/>
  <c r="P759" i="9"/>
  <c r="L759" i="9"/>
  <c r="O759" i="9"/>
  <c r="K759" i="9"/>
  <c r="N759" i="9"/>
  <c r="M763" i="9"/>
  <c r="P763" i="9"/>
  <c r="L763" i="9"/>
  <c r="O763" i="9"/>
  <c r="K763" i="9"/>
  <c r="N763" i="9"/>
  <c r="M767" i="9"/>
  <c r="P767" i="9"/>
  <c r="L767" i="9"/>
  <c r="O767" i="9"/>
  <c r="K767" i="9"/>
  <c r="N767" i="9"/>
  <c r="M771" i="9"/>
  <c r="P771" i="9"/>
  <c r="L771" i="9"/>
  <c r="O771" i="9"/>
  <c r="K771" i="9"/>
  <c r="N771" i="9"/>
  <c r="M775" i="9"/>
  <c r="P775" i="9"/>
  <c r="L775" i="9"/>
  <c r="O775" i="9"/>
  <c r="K775" i="9"/>
  <c r="N775" i="9"/>
  <c r="M779" i="9"/>
  <c r="P779" i="9"/>
  <c r="L779" i="9"/>
  <c r="O779" i="9"/>
  <c r="K779" i="9"/>
  <c r="N779" i="9"/>
  <c r="M783" i="9"/>
  <c r="P783" i="9"/>
  <c r="L783" i="9"/>
  <c r="O783" i="9"/>
  <c r="K783" i="9"/>
  <c r="N783" i="9"/>
  <c r="M787" i="9"/>
  <c r="P787" i="9"/>
  <c r="O787" i="9"/>
  <c r="N787" i="9"/>
  <c r="L787" i="9"/>
  <c r="K787" i="9"/>
  <c r="M791" i="9"/>
  <c r="P791" i="9"/>
  <c r="L791" i="9"/>
  <c r="O791" i="9"/>
  <c r="K791" i="9"/>
  <c r="N791" i="9"/>
  <c r="M795" i="9"/>
  <c r="P795" i="9"/>
  <c r="L795" i="9"/>
  <c r="O795" i="9"/>
  <c r="K795" i="9"/>
  <c r="N795" i="9"/>
  <c r="M799" i="9"/>
  <c r="P799" i="9"/>
  <c r="L799" i="9"/>
  <c r="O799" i="9"/>
  <c r="K799" i="9"/>
  <c r="N799" i="9"/>
  <c r="M803" i="9"/>
  <c r="S147" i="5" s="1"/>
  <c r="P803" i="9"/>
  <c r="V147" i="5" s="1"/>
  <c r="L803" i="9"/>
  <c r="R147" i="5" s="1"/>
  <c r="O803" i="9"/>
  <c r="U147" i="5" s="1"/>
  <c r="K803" i="9"/>
  <c r="Q147" i="5" s="1"/>
  <c r="N803" i="9"/>
  <c r="T147" i="5" s="1"/>
  <c r="M807" i="9"/>
  <c r="P807" i="9"/>
  <c r="L807" i="9"/>
  <c r="O807" i="9"/>
  <c r="K807" i="9"/>
  <c r="N807" i="9"/>
  <c r="M811" i="9"/>
  <c r="P811" i="9"/>
  <c r="L811" i="9"/>
  <c r="O811" i="9"/>
  <c r="K811" i="9"/>
  <c r="N811" i="9"/>
  <c r="M815" i="9"/>
  <c r="P815" i="9"/>
  <c r="L815" i="9"/>
  <c r="O815" i="9"/>
  <c r="K815" i="9"/>
  <c r="N815" i="9"/>
  <c r="M819" i="9"/>
  <c r="P819" i="9"/>
  <c r="L819" i="9"/>
  <c r="O819" i="9"/>
  <c r="K819" i="9"/>
  <c r="N819" i="9"/>
  <c r="M823" i="9"/>
  <c r="S106" i="5" s="1"/>
  <c r="P823" i="9"/>
  <c r="V106" i="5" s="1"/>
  <c r="L823" i="9"/>
  <c r="R106" i="5" s="1"/>
  <c r="O823" i="9"/>
  <c r="U106" i="5" s="1"/>
  <c r="K823" i="9"/>
  <c r="Q106" i="5" s="1"/>
  <c r="N823" i="9"/>
  <c r="T106" i="5" s="1"/>
  <c r="M827" i="9"/>
  <c r="P827" i="9"/>
  <c r="L827" i="9"/>
  <c r="O827" i="9"/>
  <c r="K827" i="9"/>
  <c r="N827" i="9"/>
  <c r="M831" i="9"/>
  <c r="S95" i="5" s="1"/>
  <c r="P831" i="9"/>
  <c r="V95" i="5" s="1"/>
  <c r="L831" i="9"/>
  <c r="R95" i="5" s="1"/>
  <c r="O831" i="9"/>
  <c r="U95" i="5" s="1"/>
  <c r="K831" i="9"/>
  <c r="Q95" i="5" s="1"/>
  <c r="N831" i="9"/>
  <c r="T95" i="5" s="1"/>
  <c r="M835" i="9"/>
  <c r="P835" i="9"/>
  <c r="L835" i="9"/>
  <c r="O835" i="9"/>
  <c r="K835" i="9"/>
  <c r="N835" i="9"/>
  <c r="M839" i="9"/>
  <c r="P839" i="9"/>
  <c r="L839" i="9"/>
  <c r="O839" i="9"/>
  <c r="K839" i="9"/>
  <c r="N839" i="9"/>
  <c r="M843" i="9"/>
  <c r="P843" i="9"/>
  <c r="L843" i="9"/>
  <c r="O843" i="9"/>
  <c r="K843" i="9"/>
  <c r="N843" i="9"/>
  <c r="O704" i="9"/>
  <c r="K704" i="9"/>
  <c r="N704" i="9"/>
  <c r="M704" i="9"/>
  <c r="P704" i="9"/>
  <c r="L704" i="9"/>
  <c r="O708" i="9"/>
  <c r="K708" i="9"/>
  <c r="N708" i="9"/>
  <c r="M708" i="9"/>
  <c r="P708" i="9"/>
  <c r="L708" i="9"/>
  <c r="O712" i="9"/>
  <c r="K712" i="9"/>
  <c r="N712" i="9"/>
  <c r="M712" i="9"/>
  <c r="P712" i="9"/>
  <c r="L712" i="9"/>
  <c r="O716" i="9"/>
  <c r="K716" i="9"/>
  <c r="N716" i="9"/>
  <c r="M716" i="9"/>
  <c r="P716" i="9"/>
  <c r="L716" i="9"/>
  <c r="O720" i="9"/>
  <c r="U103" i="5" s="1"/>
  <c r="K720" i="9"/>
  <c r="Q103" i="5" s="1"/>
  <c r="N720" i="9"/>
  <c r="T103" i="5" s="1"/>
  <c r="M720" i="9"/>
  <c r="S103" i="5" s="1"/>
  <c r="P720" i="9"/>
  <c r="V103" i="5" s="1"/>
  <c r="L720" i="9"/>
  <c r="R103" i="5" s="1"/>
  <c r="O724" i="9"/>
  <c r="K724" i="9"/>
  <c r="N724" i="9"/>
  <c r="M724" i="9"/>
  <c r="P724" i="9"/>
  <c r="L724" i="9"/>
  <c r="P23" i="9"/>
  <c r="L23" i="9"/>
  <c r="N23" i="9"/>
  <c r="O23" i="9"/>
  <c r="M23" i="9"/>
  <c r="K23" i="9"/>
  <c r="P27" i="9"/>
  <c r="L27" i="9"/>
  <c r="N27" i="9"/>
  <c r="O27" i="9"/>
  <c r="M27" i="9"/>
  <c r="K27" i="9"/>
  <c r="P31" i="9"/>
  <c r="L31" i="9"/>
  <c r="N31" i="9"/>
  <c r="O31" i="9"/>
  <c r="M31" i="9"/>
  <c r="K31" i="9"/>
  <c r="P35" i="9"/>
  <c r="L35" i="9"/>
  <c r="N35" i="9"/>
  <c r="O35" i="9"/>
  <c r="M35" i="9"/>
  <c r="K35" i="9"/>
  <c r="P39" i="9"/>
  <c r="L39" i="9"/>
  <c r="N39" i="9"/>
  <c r="O39" i="9"/>
  <c r="M39" i="9"/>
  <c r="K39" i="9"/>
  <c r="P43" i="9"/>
  <c r="L43" i="9"/>
  <c r="N43" i="9"/>
  <c r="O43" i="9"/>
  <c r="M43" i="9"/>
  <c r="K43" i="9"/>
  <c r="P47" i="9"/>
  <c r="L47" i="9"/>
  <c r="N47" i="9"/>
  <c r="O47" i="9"/>
  <c r="M47" i="9"/>
  <c r="K47" i="9"/>
  <c r="P51" i="9"/>
  <c r="L51" i="9"/>
  <c r="N51" i="9"/>
  <c r="O51" i="9"/>
  <c r="M51" i="9"/>
  <c r="K51" i="9"/>
  <c r="P55" i="9"/>
  <c r="L55" i="9"/>
  <c r="N55" i="9"/>
  <c r="O55" i="9"/>
  <c r="M55" i="9"/>
  <c r="K55" i="9"/>
  <c r="N60" i="9"/>
  <c r="P60" i="9"/>
  <c r="L60" i="9"/>
  <c r="K60" i="9"/>
  <c r="O60" i="9"/>
  <c r="M60" i="9"/>
  <c r="N64" i="9"/>
  <c r="T6" i="5" s="1"/>
  <c r="K6" i="5" s="1"/>
  <c r="P64" i="9"/>
  <c r="V6" i="5" s="1"/>
  <c r="M6" i="5" s="1"/>
  <c r="L64" i="9"/>
  <c r="R6" i="5" s="1"/>
  <c r="I6" i="5" s="1"/>
  <c r="K64" i="9"/>
  <c r="Q6" i="5" s="1"/>
  <c r="O64" i="9"/>
  <c r="U6" i="5" s="1"/>
  <c r="L6" i="5" s="1"/>
  <c r="M64" i="9"/>
  <c r="S6" i="5" s="1"/>
  <c r="J6" i="5" s="1"/>
  <c r="N68" i="9"/>
  <c r="P68" i="9"/>
  <c r="L68" i="9"/>
  <c r="K68" i="9"/>
  <c r="O68" i="9"/>
  <c r="M68" i="9"/>
  <c r="N72" i="9"/>
  <c r="P72" i="9"/>
  <c r="L72" i="9"/>
  <c r="K72" i="9"/>
  <c r="O72" i="9"/>
  <c r="M72" i="9"/>
  <c r="N76" i="9"/>
  <c r="P76" i="9"/>
  <c r="L76" i="9"/>
  <c r="K76" i="9"/>
  <c r="O76" i="9"/>
  <c r="M76" i="9"/>
  <c r="N80" i="9"/>
  <c r="T57" i="5" s="1"/>
  <c r="P80" i="9"/>
  <c r="V57" i="5" s="1"/>
  <c r="L80" i="9"/>
  <c r="R57" i="5" s="1"/>
  <c r="K80" i="9"/>
  <c r="Q57" i="5" s="1"/>
  <c r="O80" i="9"/>
  <c r="U57" i="5" s="1"/>
  <c r="M80" i="9"/>
  <c r="S57" i="5" s="1"/>
  <c r="N84" i="9"/>
  <c r="P84" i="9"/>
  <c r="L84" i="9"/>
  <c r="K84" i="9"/>
  <c r="O84" i="9"/>
  <c r="M84" i="9"/>
  <c r="N88" i="9"/>
  <c r="P88" i="9"/>
  <c r="L88" i="9"/>
  <c r="K88" i="9"/>
  <c r="O88" i="9"/>
  <c r="M88" i="9"/>
  <c r="N92" i="9"/>
  <c r="P92" i="9"/>
  <c r="L92" i="9"/>
  <c r="K92" i="9"/>
  <c r="O92" i="9"/>
  <c r="M92" i="9"/>
  <c r="N96" i="9"/>
  <c r="P96" i="9"/>
  <c r="L96" i="9"/>
  <c r="K96" i="9"/>
  <c r="O96" i="9"/>
  <c r="M96" i="9"/>
  <c r="N100" i="9"/>
  <c r="P100" i="9"/>
  <c r="L100" i="9"/>
  <c r="K100" i="9"/>
  <c r="O100" i="9"/>
  <c r="M100" i="9"/>
  <c r="K104" i="9"/>
  <c r="N104" i="9"/>
  <c r="M104" i="9"/>
  <c r="P104" i="9"/>
  <c r="L104" i="9"/>
  <c r="O104" i="9"/>
  <c r="O108" i="9"/>
  <c r="N108" i="9"/>
  <c r="M108" i="9"/>
  <c r="P108" i="9"/>
  <c r="L108" i="9"/>
  <c r="K108" i="9"/>
  <c r="K112" i="9"/>
  <c r="N112" i="9"/>
  <c r="M112" i="9"/>
  <c r="P112" i="9"/>
  <c r="L112" i="9"/>
  <c r="O112" i="9"/>
  <c r="O120" i="9"/>
  <c r="N120" i="9"/>
  <c r="M120" i="9"/>
  <c r="P120" i="9"/>
  <c r="L120" i="9"/>
  <c r="K120" i="9"/>
  <c r="K124" i="9"/>
  <c r="N124" i="9"/>
  <c r="M124" i="9"/>
  <c r="P124" i="9"/>
  <c r="L124" i="9"/>
  <c r="O124" i="9"/>
  <c r="O128" i="9"/>
  <c r="K128" i="9"/>
  <c r="N128" i="9"/>
  <c r="M128" i="9"/>
  <c r="P128" i="9"/>
  <c r="L128" i="9"/>
  <c r="O132" i="9"/>
  <c r="K132" i="9"/>
  <c r="N132" i="9"/>
  <c r="M132" i="9"/>
  <c r="P132" i="9"/>
  <c r="L132" i="9"/>
  <c r="O137" i="9"/>
  <c r="K137" i="9"/>
  <c r="N137" i="9"/>
  <c r="M137" i="9"/>
  <c r="P137" i="9"/>
  <c r="L137" i="9"/>
  <c r="O141" i="9"/>
  <c r="N141" i="9"/>
  <c r="M141" i="9"/>
  <c r="P141" i="9"/>
  <c r="L141" i="9"/>
  <c r="K141" i="9"/>
  <c r="O145" i="9"/>
  <c r="K145" i="9"/>
  <c r="N145" i="9"/>
  <c r="M145" i="9"/>
  <c r="P145" i="9"/>
  <c r="L145" i="9"/>
  <c r="O149" i="9"/>
  <c r="K149" i="9"/>
  <c r="N149" i="9"/>
  <c r="M149" i="9"/>
  <c r="P149" i="9"/>
  <c r="L149" i="9"/>
  <c r="O151" i="9"/>
  <c r="K151" i="9"/>
  <c r="N151" i="9"/>
  <c r="M151" i="9"/>
  <c r="P151" i="9"/>
  <c r="L151" i="9"/>
  <c r="O153" i="9"/>
  <c r="K153" i="9"/>
  <c r="N153" i="9"/>
  <c r="M153" i="9"/>
  <c r="P153" i="9"/>
  <c r="L153" i="9"/>
  <c r="O157" i="9"/>
  <c r="K157" i="9"/>
  <c r="N157" i="9"/>
  <c r="M157" i="9"/>
  <c r="P157" i="9"/>
  <c r="L157" i="9"/>
  <c r="O161" i="9"/>
  <c r="K161" i="9"/>
  <c r="N161" i="9"/>
  <c r="M161" i="9"/>
  <c r="P161" i="9"/>
  <c r="L161" i="9"/>
  <c r="O173" i="9"/>
  <c r="K173" i="9"/>
  <c r="N173" i="9"/>
  <c r="M173" i="9"/>
  <c r="P173" i="9"/>
  <c r="L173" i="9"/>
  <c r="O177" i="9"/>
  <c r="K177" i="9"/>
  <c r="N177" i="9"/>
  <c r="M177" i="9"/>
  <c r="P177" i="9"/>
  <c r="L177" i="9"/>
  <c r="O181" i="9"/>
  <c r="K181" i="9"/>
  <c r="N181" i="9"/>
  <c r="M181" i="9"/>
  <c r="P181" i="9"/>
  <c r="L181" i="9"/>
  <c r="O185" i="9"/>
  <c r="K185" i="9"/>
  <c r="N185" i="9"/>
  <c r="M185" i="9"/>
  <c r="P185" i="9"/>
  <c r="L185" i="9"/>
  <c r="O189" i="9"/>
  <c r="K189" i="9"/>
  <c r="N189" i="9"/>
  <c r="M189" i="9"/>
  <c r="P189" i="9"/>
  <c r="L189" i="9"/>
  <c r="O193" i="9"/>
  <c r="K193" i="9"/>
  <c r="N193" i="9"/>
  <c r="M193" i="9"/>
  <c r="P193" i="9"/>
  <c r="L193" i="9"/>
  <c r="O197" i="9"/>
  <c r="K197" i="9"/>
  <c r="N197" i="9"/>
  <c r="M197" i="9"/>
  <c r="P197" i="9"/>
  <c r="L197" i="9"/>
  <c r="O201" i="9"/>
  <c r="U14" i="5" s="1"/>
  <c r="L14" i="5" s="1"/>
  <c r="K201" i="9"/>
  <c r="Q14" i="5" s="1"/>
  <c r="N201" i="9"/>
  <c r="T14" i="5" s="1"/>
  <c r="K14" i="5" s="1"/>
  <c r="M201" i="9"/>
  <c r="S14" i="5" s="1"/>
  <c r="J14" i="5" s="1"/>
  <c r="P201" i="9"/>
  <c r="V14" i="5" s="1"/>
  <c r="M14" i="5" s="1"/>
  <c r="L201" i="9"/>
  <c r="R14" i="5" s="1"/>
  <c r="I14" i="5" s="1"/>
  <c r="O205" i="9"/>
  <c r="K205" i="9"/>
  <c r="N205" i="9"/>
  <c r="M205" i="9"/>
  <c r="P205" i="9"/>
  <c r="L205" i="9"/>
  <c r="O209" i="9"/>
  <c r="K209" i="9"/>
  <c r="N209" i="9"/>
  <c r="M209" i="9"/>
  <c r="P209" i="9"/>
  <c r="L209" i="9"/>
  <c r="O213" i="9"/>
  <c r="K213" i="9"/>
  <c r="N213" i="9"/>
  <c r="M213" i="9"/>
  <c r="P213" i="9"/>
  <c r="L213" i="9"/>
  <c r="N217" i="9"/>
  <c r="M217" i="9"/>
  <c r="L217" i="9"/>
  <c r="K217" i="9"/>
  <c r="P217" i="9"/>
  <c r="O217" i="9"/>
  <c r="N221" i="9"/>
  <c r="M221" i="9"/>
  <c r="L221" i="9"/>
  <c r="K221" i="9"/>
  <c r="P221" i="9"/>
  <c r="O221" i="9"/>
  <c r="N225" i="9"/>
  <c r="M225" i="9"/>
  <c r="L225" i="9"/>
  <c r="K225" i="9"/>
  <c r="P225" i="9"/>
  <c r="O225" i="9"/>
  <c r="N229" i="9"/>
  <c r="M229" i="9"/>
  <c r="L229" i="9"/>
  <c r="K229" i="9"/>
  <c r="P229" i="9"/>
  <c r="O229" i="9"/>
  <c r="N233" i="9"/>
  <c r="M233" i="9"/>
  <c r="L233" i="9"/>
  <c r="K233" i="9"/>
  <c r="P233" i="9"/>
  <c r="O233" i="9"/>
  <c r="N237" i="9"/>
  <c r="M237" i="9"/>
  <c r="L237" i="9"/>
  <c r="K237" i="9"/>
  <c r="P237" i="9"/>
  <c r="O237" i="9"/>
  <c r="N241" i="9"/>
  <c r="M241" i="9"/>
  <c r="L241" i="9"/>
  <c r="K241" i="9"/>
  <c r="P241" i="9"/>
  <c r="O241" i="9"/>
  <c r="N245" i="9"/>
  <c r="M245" i="9"/>
  <c r="L245" i="9"/>
  <c r="K245" i="9"/>
  <c r="P245" i="9"/>
  <c r="O245" i="9"/>
  <c r="N249" i="9"/>
  <c r="M249" i="9"/>
  <c r="L249" i="9"/>
  <c r="K249" i="9"/>
  <c r="P249" i="9"/>
  <c r="O249" i="9"/>
  <c r="N253" i="9"/>
  <c r="M253" i="9"/>
  <c r="L253" i="9"/>
  <c r="K253" i="9"/>
  <c r="P253" i="9"/>
  <c r="O253" i="9"/>
  <c r="N257" i="9"/>
  <c r="M257" i="9"/>
  <c r="L257" i="9"/>
  <c r="K257" i="9"/>
  <c r="P257" i="9"/>
  <c r="O257" i="9"/>
  <c r="P261" i="9"/>
  <c r="L261" i="9"/>
  <c r="O261" i="9"/>
  <c r="K261" i="9"/>
  <c r="N261" i="9"/>
  <c r="M261" i="9"/>
  <c r="P265" i="9"/>
  <c r="L265" i="9"/>
  <c r="O265" i="9"/>
  <c r="K265" i="9"/>
  <c r="N265" i="9"/>
  <c r="M265" i="9"/>
  <c r="P269" i="9"/>
  <c r="L269" i="9"/>
  <c r="O269" i="9"/>
  <c r="K269" i="9"/>
  <c r="N269" i="9"/>
  <c r="M269" i="9"/>
  <c r="P273" i="9"/>
  <c r="L273" i="9"/>
  <c r="O273" i="9"/>
  <c r="K273" i="9"/>
  <c r="N273" i="9"/>
  <c r="M273" i="9"/>
  <c r="P277" i="9"/>
  <c r="L277" i="9"/>
  <c r="O277" i="9"/>
  <c r="K277" i="9"/>
  <c r="N277" i="9"/>
  <c r="M277" i="9"/>
  <c r="P281" i="9"/>
  <c r="L281" i="9"/>
  <c r="O281" i="9"/>
  <c r="K281" i="9"/>
  <c r="N281" i="9"/>
  <c r="M281" i="9"/>
  <c r="P285" i="9"/>
  <c r="L285" i="9"/>
  <c r="O285" i="9"/>
  <c r="K285" i="9"/>
  <c r="N285" i="9"/>
  <c r="M285" i="9"/>
  <c r="P289" i="9"/>
  <c r="L289" i="9"/>
  <c r="O289" i="9"/>
  <c r="K289" i="9"/>
  <c r="N289" i="9"/>
  <c r="M289" i="9"/>
  <c r="P293" i="9"/>
  <c r="L293" i="9"/>
  <c r="O293" i="9"/>
  <c r="K293" i="9"/>
  <c r="N293" i="9"/>
  <c r="M293" i="9"/>
  <c r="P297" i="9"/>
  <c r="L297" i="9"/>
  <c r="O297" i="9"/>
  <c r="K297" i="9"/>
  <c r="N297" i="9"/>
  <c r="M297" i="9"/>
  <c r="P301" i="9"/>
  <c r="L301" i="9"/>
  <c r="O301" i="9"/>
  <c r="K301" i="9"/>
  <c r="N301" i="9"/>
  <c r="M301" i="9"/>
  <c r="P305" i="9"/>
  <c r="L305" i="9"/>
  <c r="O305" i="9"/>
  <c r="K305" i="9"/>
  <c r="N305" i="9"/>
  <c r="M305" i="9"/>
  <c r="P309" i="9"/>
  <c r="L309" i="9"/>
  <c r="O309" i="9"/>
  <c r="K309" i="9"/>
  <c r="N309" i="9"/>
  <c r="M309" i="9"/>
  <c r="P313" i="9"/>
  <c r="V66" i="5" s="1"/>
  <c r="M66" i="5" s="1"/>
  <c r="L313" i="9"/>
  <c r="R66" i="5" s="1"/>
  <c r="I66" i="5" s="1"/>
  <c r="O313" i="9"/>
  <c r="U66" i="5" s="1"/>
  <c r="L66" i="5" s="1"/>
  <c r="K313" i="9"/>
  <c r="N313" i="9"/>
  <c r="T66" i="5" s="1"/>
  <c r="K66" i="5" s="1"/>
  <c r="M313" i="9"/>
  <c r="S66" i="5" s="1"/>
  <c r="J66" i="5" s="1"/>
  <c r="P317" i="9"/>
  <c r="L317" i="9"/>
  <c r="O317" i="9"/>
  <c r="K317" i="9"/>
  <c r="N317" i="9"/>
  <c r="M317" i="9"/>
  <c r="P321" i="9"/>
  <c r="L321" i="9"/>
  <c r="O321" i="9"/>
  <c r="K321" i="9"/>
  <c r="N321" i="9"/>
  <c r="M321" i="9"/>
  <c r="P325" i="9"/>
  <c r="L325" i="9"/>
  <c r="O325" i="9"/>
  <c r="K325" i="9"/>
  <c r="N325" i="9"/>
  <c r="M325" i="9"/>
  <c r="P329" i="9"/>
  <c r="L329" i="9"/>
  <c r="O329" i="9"/>
  <c r="K329" i="9"/>
  <c r="N329" i="9"/>
  <c r="M329" i="9"/>
  <c r="P333" i="9"/>
  <c r="L333" i="9"/>
  <c r="O333" i="9"/>
  <c r="K333" i="9"/>
  <c r="N333" i="9"/>
  <c r="M333" i="9"/>
  <c r="P337" i="9"/>
  <c r="L337" i="9"/>
  <c r="O337" i="9"/>
  <c r="K337" i="9"/>
  <c r="N337" i="9"/>
  <c r="M337" i="9"/>
  <c r="P341" i="9"/>
  <c r="L341" i="9"/>
  <c r="O341" i="9"/>
  <c r="K341" i="9"/>
  <c r="N341" i="9"/>
  <c r="M341" i="9"/>
  <c r="P345" i="9"/>
  <c r="V109" i="5" s="1"/>
  <c r="L345" i="9"/>
  <c r="R109" i="5" s="1"/>
  <c r="O345" i="9"/>
  <c r="U109" i="5" s="1"/>
  <c r="K345" i="9"/>
  <c r="Q109" i="5" s="1"/>
  <c r="N345" i="9"/>
  <c r="T109" i="5" s="1"/>
  <c r="M345" i="9"/>
  <c r="S109" i="5" s="1"/>
  <c r="P349" i="9"/>
  <c r="L349" i="9"/>
  <c r="O349" i="9"/>
  <c r="K349" i="9"/>
  <c r="N349" i="9"/>
  <c r="M349" i="9"/>
  <c r="P353" i="9"/>
  <c r="L353" i="9"/>
  <c r="O353" i="9"/>
  <c r="K353" i="9"/>
  <c r="N353" i="9"/>
  <c r="M353" i="9"/>
  <c r="P357" i="9"/>
  <c r="L357" i="9"/>
  <c r="O357" i="9"/>
  <c r="K357" i="9"/>
  <c r="N357" i="9"/>
  <c r="M357" i="9"/>
  <c r="P361" i="9"/>
  <c r="L361" i="9"/>
  <c r="O361" i="9"/>
  <c r="K361" i="9"/>
  <c r="N361" i="9"/>
  <c r="M361" i="9"/>
  <c r="P365" i="9"/>
  <c r="L365" i="9"/>
  <c r="O365" i="9"/>
  <c r="K365" i="9"/>
  <c r="N365" i="9"/>
  <c r="M365" i="9"/>
  <c r="P369" i="9"/>
  <c r="L369" i="9"/>
  <c r="O369" i="9"/>
  <c r="K369" i="9"/>
  <c r="N369" i="9"/>
  <c r="M369" i="9"/>
  <c r="P373" i="9"/>
  <c r="L373" i="9"/>
  <c r="O373" i="9"/>
  <c r="K373" i="9"/>
  <c r="N373" i="9"/>
  <c r="M373" i="9"/>
  <c r="N378" i="9"/>
  <c r="M378" i="9"/>
  <c r="P378" i="9"/>
  <c r="L378" i="9"/>
  <c r="O378" i="9"/>
  <c r="K378" i="9"/>
  <c r="N390" i="9"/>
  <c r="M390" i="9"/>
  <c r="P390" i="9"/>
  <c r="L390" i="9"/>
  <c r="O390" i="9"/>
  <c r="K390" i="9"/>
  <c r="N394" i="9"/>
  <c r="M394" i="9"/>
  <c r="P394" i="9"/>
  <c r="L394" i="9"/>
  <c r="O394" i="9"/>
  <c r="K394" i="9"/>
  <c r="N398" i="9"/>
  <c r="M398" i="9"/>
  <c r="P398" i="9"/>
  <c r="L398" i="9"/>
  <c r="O398" i="9"/>
  <c r="K398" i="9"/>
  <c r="N402" i="9"/>
  <c r="M402" i="9"/>
  <c r="P402" i="9"/>
  <c r="L402" i="9"/>
  <c r="O402" i="9"/>
  <c r="K402" i="9"/>
  <c r="N406" i="9"/>
  <c r="M406" i="9"/>
  <c r="P406" i="9"/>
  <c r="L406" i="9"/>
  <c r="O406" i="9"/>
  <c r="K406" i="9"/>
  <c r="N410" i="9"/>
  <c r="M410" i="9"/>
  <c r="P410" i="9"/>
  <c r="L410" i="9"/>
  <c r="O410" i="9"/>
  <c r="K410" i="9"/>
  <c r="N414" i="9"/>
  <c r="M414" i="9"/>
  <c r="P414" i="9"/>
  <c r="L414" i="9"/>
  <c r="O414" i="9"/>
  <c r="K414" i="9"/>
  <c r="N418" i="9"/>
  <c r="M418" i="9"/>
  <c r="P418" i="9"/>
  <c r="L418" i="9"/>
  <c r="O418" i="9"/>
  <c r="K418" i="9"/>
  <c r="N422" i="9"/>
  <c r="M422" i="9"/>
  <c r="P422" i="9"/>
  <c r="L422" i="9"/>
  <c r="O422" i="9"/>
  <c r="K422" i="9"/>
  <c r="N426" i="9"/>
  <c r="M426" i="9"/>
  <c r="P426" i="9"/>
  <c r="L426" i="9"/>
  <c r="O426" i="9"/>
  <c r="K426" i="9"/>
  <c r="N430" i="9"/>
  <c r="M430" i="9"/>
  <c r="P430" i="9"/>
  <c r="L430" i="9"/>
  <c r="O430" i="9"/>
  <c r="K430" i="9"/>
  <c r="N434" i="9"/>
  <c r="M434" i="9"/>
  <c r="P434" i="9"/>
  <c r="L434" i="9"/>
  <c r="O434" i="9"/>
  <c r="K434" i="9"/>
  <c r="N438" i="9"/>
  <c r="T142" i="5" s="1"/>
  <c r="M438" i="9"/>
  <c r="S142" i="5" s="1"/>
  <c r="P438" i="9"/>
  <c r="V142" i="5" s="1"/>
  <c r="L438" i="9"/>
  <c r="R142" i="5" s="1"/>
  <c r="O438" i="9"/>
  <c r="U142" i="5" s="1"/>
  <c r="K438" i="9"/>
  <c r="Q142" i="5" s="1"/>
  <c r="N442" i="9"/>
  <c r="M442" i="9"/>
  <c r="P442" i="9"/>
  <c r="L442" i="9"/>
  <c r="O442" i="9"/>
  <c r="K442" i="9"/>
  <c r="N446" i="9"/>
  <c r="M446" i="9"/>
  <c r="P446" i="9"/>
  <c r="L446" i="9"/>
  <c r="O446" i="9"/>
  <c r="K446" i="9"/>
  <c r="N450" i="9"/>
  <c r="M450" i="9"/>
  <c r="P450" i="9"/>
  <c r="L450" i="9"/>
  <c r="O450" i="9"/>
  <c r="K450" i="9"/>
  <c r="N454" i="9"/>
  <c r="M454" i="9"/>
  <c r="P454" i="9"/>
  <c r="L454" i="9"/>
  <c r="O454" i="9"/>
  <c r="K454" i="9"/>
  <c r="N458" i="9"/>
  <c r="M458" i="9"/>
  <c r="P458" i="9"/>
  <c r="L458" i="9"/>
  <c r="O458" i="9"/>
  <c r="K458" i="9"/>
  <c r="N462" i="9"/>
  <c r="M462" i="9"/>
  <c r="P462" i="9"/>
  <c r="L462" i="9"/>
  <c r="O462" i="9"/>
  <c r="K462" i="9"/>
  <c r="N466" i="9"/>
  <c r="M466" i="9"/>
  <c r="P466" i="9"/>
  <c r="L466" i="9"/>
  <c r="O466" i="9"/>
  <c r="K466" i="9"/>
  <c r="N470" i="9"/>
  <c r="M470" i="9"/>
  <c r="P470" i="9"/>
  <c r="L470" i="9"/>
  <c r="O470" i="9"/>
  <c r="K470" i="9"/>
  <c r="N474" i="9"/>
  <c r="M474" i="9"/>
  <c r="P474" i="9"/>
  <c r="L474" i="9"/>
  <c r="O474" i="9"/>
  <c r="K474" i="9"/>
  <c r="N478" i="9"/>
  <c r="M478" i="9"/>
  <c r="P478" i="9"/>
  <c r="L478" i="9"/>
  <c r="O478" i="9"/>
  <c r="K478" i="9"/>
  <c r="N482" i="9"/>
  <c r="M482" i="9"/>
  <c r="P482" i="9"/>
  <c r="L482" i="9"/>
  <c r="O482" i="9"/>
  <c r="K482" i="9"/>
  <c r="N486" i="9"/>
  <c r="M486" i="9"/>
  <c r="P486" i="9"/>
  <c r="L486" i="9"/>
  <c r="O486" i="9"/>
  <c r="K486" i="9"/>
  <c r="N490" i="9"/>
  <c r="M490" i="9"/>
  <c r="P490" i="9"/>
  <c r="L490" i="9"/>
  <c r="O490" i="9"/>
  <c r="K490" i="9"/>
  <c r="N494" i="9"/>
  <c r="M494" i="9"/>
  <c r="P494" i="9"/>
  <c r="L494" i="9"/>
  <c r="O494" i="9"/>
  <c r="K494" i="9"/>
  <c r="O498" i="9"/>
  <c r="K498" i="9"/>
  <c r="N498" i="9"/>
  <c r="M498" i="9"/>
  <c r="P498" i="9"/>
  <c r="L498" i="9"/>
  <c r="O502" i="9"/>
  <c r="K502" i="9"/>
  <c r="N502" i="9"/>
  <c r="M502" i="9"/>
  <c r="P502" i="9"/>
  <c r="L502" i="9"/>
  <c r="O506" i="9"/>
  <c r="U8" i="5" s="1"/>
  <c r="K506" i="9"/>
  <c r="Q8" i="5" s="1"/>
  <c r="N506" i="9"/>
  <c r="T8" i="5" s="1"/>
  <c r="M506" i="9"/>
  <c r="S8" i="5" s="1"/>
  <c r="P506" i="9"/>
  <c r="V8" i="5" s="1"/>
  <c r="L506" i="9"/>
  <c r="R8" i="5" s="1"/>
  <c r="O514" i="9"/>
  <c r="U134" i="5" s="1"/>
  <c r="L134" i="5" s="1"/>
  <c r="K514" i="9"/>
  <c r="Q134" i="5" s="1"/>
  <c r="N514" i="9"/>
  <c r="T134" i="5" s="1"/>
  <c r="K134" i="5" s="1"/>
  <c r="M514" i="9"/>
  <c r="S134" i="5" s="1"/>
  <c r="J134" i="5" s="1"/>
  <c r="P514" i="9"/>
  <c r="V134" i="5" s="1"/>
  <c r="M134" i="5" s="1"/>
  <c r="L514" i="9"/>
  <c r="R134" i="5" s="1"/>
  <c r="I134" i="5" s="1"/>
  <c r="O518" i="9"/>
  <c r="K518" i="9"/>
  <c r="N518" i="9"/>
  <c r="M518" i="9"/>
  <c r="P518" i="9"/>
  <c r="L518" i="9"/>
  <c r="O522" i="9"/>
  <c r="K522" i="9"/>
  <c r="N522" i="9"/>
  <c r="M522" i="9"/>
  <c r="P522" i="9"/>
  <c r="L522" i="9"/>
  <c r="O526" i="9"/>
  <c r="K526" i="9"/>
  <c r="N526" i="9"/>
  <c r="M526" i="9"/>
  <c r="P526" i="9"/>
  <c r="L526" i="9"/>
  <c r="O530" i="9"/>
  <c r="K530" i="9"/>
  <c r="N530" i="9"/>
  <c r="M530" i="9"/>
  <c r="P530" i="9"/>
  <c r="L530" i="9"/>
  <c r="O534" i="9"/>
  <c r="K534" i="9"/>
  <c r="N534" i="9"/>
  <c r="M534" i="9"/>
  <c r="P534" i="9"/>
  <c r="L534" i="9"/>
  <c r="O538" i="9"/>
  <c r="K538" i="9"/>
  <c r="N538" i="9"/>
  <c r="M538" i="9"/>
  <c r="P538" i="9"/>
  <c r="L538" i="9"/>
  <c r="O542" i="9"/>
  <c r="U124" i="5" s="1"/>
  <c r="K542" i="9"/>
  <c r="Q124" i="5" s="1"/>
  <c r="N542" i="9"/>
  <c r="T124" i="5" s="1"/>
  <c r="M542" i="9"/>
  <c r="S124" i="5" s="1"/>
  <c r="P542" i="9"/>
  <c r="V124" i="5" s="1"/>
  <c r="L542" i="9"/>
  <c r="R124" i="5" s="1"/>
  <c r="O546" i="9"/>
  <c r="K546" i="9"/>
  <c r="N546" i="9"/>
  <c r="M546" i="9"/>
  <c r="P546" i="9"/>
  <c r="L546" i="9"/>
  <c r="O550" i="9"/>
  <c r="K550" i="9"/>
  <c r="N550" i="9"/>
  <c r="M550" i="9"/>
  <c r="P550" i="9"/>
  <c r="L550" i="9"/>
  <c r="O554" i="9"/>
  <c r="K554" i="9"/>
  <c r="N554" i="9"/>
  <c r="M554" i="9"/>
  <c r="P554" i="9"/>
  <c r="L554" i="9"/>
  <c r="O558" i="9"/>
  <c r="K558" i="9"/>
  <c r="N558" i="9"/>
  <c r="M558" i="9"/>
  <c r="P558" i="9"/>
  <c r="L558" i="9"/>
  <c r="O562" i="9"/>
  <c r="K562" i="9"/>
  <c r="N562" i="9"/>
  <c r="M562" i="9"/>
  <c r="P562" i="9"/>
  <c r="L562" i="9"/>
  <c r="O566" i="9"/>
  <c r="K566" i="9"/>
  <c r="N566" i="9"/>
  <c r="M566" i="9"/>
  <c r="P566" i="9"/>
  <c r="L566" i="9"/>
  <c r="O570" i="9"/>
  <c r="K570" i="9"/>
  <c r="N570" i="9"/>
  <c r="M570" i="9"/>
  <c r="P570" i="9"/>
  <c r="L570" i="9"/>
  <c r="O574" i="9"/>
  <c r="K574" i="9"/>
  <c r="N574" i="9"/>
  <c r="M574" i="9"/>
  <c r="P574" i="9"/>
  <c r="L574" i="9"/>
  <c r="O578" i="9"/>
  <c r="K578" i="9"/>
  <c r="N578" i="9"/>
  <c r="M578" i="9"/>
  <c r="P578" i="9"/>
  <c r="L578" i="9"/>
  <c r="O582" i="9"/>
  <c r="K582" i="9"/>
  <c r="N582" i="9"/>
  <c r="M582" i="9"/>
  <c r="P582" i="9"/>
  <c r="L582" i="9"/>
  <c r="O586" i="9"/>
  <c r="K586" i="9"/>
  <c r="N586" i="9"/>
  <c r="M586" i="9"/>
  <c r="P586" i="9"/>
  <c r="L586" i="9"/>
  <c r="O590" i="9"/>
  <c r="K590" i="9"/>
  <c r="N590" i="9"/>
  <c r="M590" i="9"/>
  <c r="P590" i="9"/>
  <c r="L590" i="9"/>
  <c r="O594" i="9"/>
  <c r="K594" i="9"/>
  <c r="N594" i="9"/>
  <c r="M594" i="9"/>
  <c r="P594" i="9"/>
  <c r="L594" i="9"/>
  <c r="O598" i="9"/>
  <c r="K598" i="9"/>
  <c r="N598" i="9"/>
  <c r="M598" i="9"/>
  <c r="P598" i="9"/>
  <c r="L598" i="9"/>
  <c r="O602" i="9"/>
  <c r="K602" i="9"/>
  <c r="N602" i="9"/>
  <c r="M602" i="9"/>
  <c r="P602" i="9"/>
  <c r="L602" i="9"/>
  <c r="O606" i="9"/>
  <c r="K606" i="9"/>
  <c r="N606" i="9"/>
  <c r="M606" i="9"/>
  <c r="P606" i="9"/>
  <c r="L606" i="9"/>
  <c r="O610" i="9"/>
  <c r="K610" i="9"/>
  <c r="N610" i="9"/>
  <c r="M610" i="9"/>
  <c r="P610" i="9"/>
  <c r="L610" i="9"/>
  <c r="O614" i="9"/>
  <c r="K614" i="9"/>
  <c r="N614" i="9"/>
  <c r="M614" i="9"/>
  <c r="P614" i="9"/>
  <c r="L614" i="9"/>
  <c r="O618" i="9"/>
  <c r="K618" i="9"/>
  <c r="N618" i="9"/>
  <c r="M618" i="9"/>
  <c r="P618" i="9"/>
  <c r="L618" i="9"/>
  <c r="O622" i="9"/>
  <c r="K622" i="9"/>
  <c r="N622" i="9"/>
  <c r="M622" i="9"/>
  <c r="P622" i="9"/>
  <c r="L622" i="9"/>
  <c r="O626" i="9"/>
  <c r="U32" i="5" s="1"/>
  <c r="L32" i="5" s="1"/>
  <c r="K626" i="9"/>
  <c r="Q32" i="5" s="1"/>
  <c r="N626" i="9"/>
  <c r="T32" i="5" s="1"/>
  <c r="K32" i="5" s="1"/>
  <c r="M626" i="9"/>
  <c r="S32" i="5" s="1"/>
  <c r="J32" i="5" s="1"/>
  <c r="P626" i="9"/>
  <c r="V32" i="5" s="1"/>
  <c r="M32" i="5" s="1"/>
  <c r="L626" i="9"/>
  <c r="R32" i="5" s="1"/>
  <c r="I32" i="5" s="1"/>
  <c r="O630" i="9"/>
  <c r="K630" i="9"/>
  <c r="N630" i="9"/>
  <c r="M630" i="9"/>
  <c r="P630" i="9"/>
  <c r="L630" i="9"/>
  <c r="O634" i="9"/>
  <c r="K634" i="9"/>
  <c r="N634" i="9"/>
  <c r="M634" i="9"/>
  <c r="P634" i="9"/>
  <c r="L634" i="9"/>
  <c r="O638" i="9"/>
  <c r="K638" i="9"/>
  <c r="N638" i="9"/>
  <c r="M638" i="9"/>
  <c r="P638" i="9"/>
  <c r="L638" i="9"/>
  <c r="O642" i="9"/>
  <c r="K642" i="9"/>
  <c r="N642" i="9"/>
  <c r="M642" i="9"/>
  <c r="P642" i="9"/>
  <c r="L642" i="9"/>
  <c r="O646" i="9"/>
  <c r="K646" i="9"/>
  <c r="N646" i="9"/>
  <c r="M646" i="9"/>
  <c r="P646" i="9"/>
  <c r="L646" i="9"/>
  <c r="O650" i="9"/>
  <c r="K650" i="9"/>
  <c r="N650" i="9"/>
  <c r="M650" i="9"/>
  <c r="P650" i="9"/>
  <c r="L650" i="9"/>
  <c r="O654" i="9"/>
  <c r="K654" i="9"/>
  <c r="N654" i="9"/>
  <c r="M654" i="9"/>
  <c r="P654" i="9"/>
  <c r="L654" i="9"/>
  <c r="O658" i="9"/>
  <c r="K658" i="9"/>
  <c r="N658" i="9"/>
  <c r="M658" i="9"/>
  <c r="P658" i="9"/>
  <c r="L658" i="9"/>
  <c r="O662" i="9"/>
  <c r="K662" i="9"/>
  <c r="N662" i="9"/>
  <c r="M662" i="9"/>
  <c r="P662" i="9"/>
  <c r="L662" i="9"/>
  <c r="O666" i="9"/>
  <c r="K666" i="9"/>
  <c r="N666" i="9"/>
  <c r="M666" i="9"/>
  <c r="P666" i="9"/>
  <c r="L666" i="9"/>
  <c r="O670" i="9"/>
  <c r="K670" i="9"/>
  <c r="N670" i="9"/>
  <c r="M670" i="9"/>
  <c r="P670" i="9"/>
  <c r="L670" i="9"/>
  <c r="O674" i="9"/>
  <c r="U133" i="5" s="1"/>
  <c r="L133" i="5" s="1"/>
  <c r="K674" i="9"/>
  <c r="Q133" i="5" s="1"/>
  <c r="N674" i="9"/>
  <c r="T133" i="5" s="1"/>
  <c r="K133" i="5" s="1"/>
  <c r="M674" i="9"/>
  <c r="S133" i="5" s="1"/>
  <c r="J133" i="5" s="1"/>
  <c r="P674" i="9"/>
  <c r="V133" i="5" s="1"/>
  <c r="M133" i="5" s="1"/>
  <c r="L674" i="9"/>
  <c r="R133" i="5" s="1"/>
  <c r="I133" i="5" s="1"/>
  <c r="O679" i="9"/>
  <c r="K679" i="9"/>
  <c r="N679" i="9"/>
  <c r="M679" i="9"/>
  <c r="P679" i="9"/>
  <c r="L679" i="9"/>
  <c r="O683" i="9"/>
  <c r="K683" i="9"/>
  <c r="N683" i="9"/>
  <c r="M683" i="9"/>
  <c r="P683" i="9"/>
  <c r="L683" i="9"/>
  <c r="O691" i="9"/>
  <c r="K691" i="9"/>
  <c r="N691" i="9"/>
  <c r="M691" i="9"/>
  <c r="P691" i="9"/>
  <c r="L691" i="9"/>
  <c r="O695" i="9"/>
  <c r="U155" i="5" s="1"/>
  <c r="L155" i="5" s="1"/>
  <c r="K695" i="9"/>
  <c r="Q155" i="5" s="1"/>
  <c r="N695" i="9"/>
  <c r="T155" i="5" s="1"/>
  <c r="K155" i="5" s="1"/>
  <c r="M695" i="9"/>
  <c r="S155" i="5" s="1"/>
  <c r="J155" i="5" s="1"/>
  <c r="P695" i="9"/>
  <c r="V155" i="5" s="1"/>
  <c r="M155" i="5" s="1"/>
  <c r="L695" i="9"/>
  <c r="R155" i="5" s="1"/>
  <c r="I155" i="5" s="1"/>
  <c r="O699" i="9"/>
  <c r="K699" i="9"/>
  <c r="N699" i="9"/>
  <c r="M699" i="9"/>
  <c r="P699" i="9"/>
  <c r="L699" i="9"/>
  <c r="O726" i="9"/>
  <c r="K726" i="9"/>
  <c r="N726" i="9"/>
  <c r="M726" i="9"/>
  <c r="P726" i="9"/>
  <c r="L726" i="9"/>
  <c r="O730" i="9"/>
  <c r="P730" i="9"/>
  <c r="K730" i="9"/>
  <c r="N730" i="9"/>
  <c r="M730" i="9"/>
  <c r="L730" i="9"/>
  <c r="O734" i="9"/>
  <c r="K734" i="9"/>
  <c r="N734" i="9"/>
  <c r="M734" i="9"/>
  <c r="P734" i="9"/>
  <c r="L734" i="9"/>
  <c r="O738" i="9"/>
  <c r="K738" i="9"/>
  <c r="N738" i="9"/>
  <c r="M738" i="9"/>
  <c r="P738" i="9"/>
  <c r="L738" i="9"/>
  <c r="O742" i="9"/>
  <c r="K742" i="9"/>
  <c r="N742" i="9"/>
  <c r="M742" i="9"/>
  <c r="P742" i="9"/>
  <c r="L742" i="9"/>
  <c r="O746" i="9"/>
  <c r="K746" i="9"/>
  <c r="N746" i="9"/>
  <c r="M746" i="9"/>
  <c r="P746" i="9"/>
  <c r="L746" i="9"/>
  <c r="O750" i="9"/>
  <c r="K750" i="9"/>
  <c r="N750" i="9"/>
  <c r="M750" i="9"/>
  <c r="P750" i="9"/>
  <c r="L750" i="9"/>
  <c r="O754" i="9"/>
  <c r="K754" i="9"/>
  <c r="N754" i="9"/>
  <c r="M754" i="9"/>
  <c r="P754" i="9"/>
  <c r="L754" i="9"/>
  <c r="O758" i="9"/>
  <c r="K758" i="9"/>
  <c r="N758" i="9"/>
  <c r="M758" i="9"/>
  <c r="P758" i="9"/>
  <c r="L758" i="9"/>
  <c r="O762" i="9"/>
  <c r="K762" i="9"/>
  <c r="N762" i="9"/>
  <c r="M762" i="9"/>
  <c r="P762" i="9"/>
  <c r="L762" i="9"/>
  <c r="O766" i="9"/>
  <c r="K766" i="9"/>
  <c r="N766" i="9"/>
  <c r="M766" i="9"/>
  <c r="P766" i="9"/>
  <c r="L766" i="9"/>
  <c r="O770" i="9"/>
  <c r="K770" i="9"/>
  <c r="N770" i="9"/>
  <c r="M770" i="9"/>
  <c r="P770" i="9"/>
  <c r="L770" i="9"/>
  <c r="O774" i="9"/>
  <c r="K774" i="9"/>
  <c r="N774" i="9"/>
  <c r="M774" i="9"/>
  <c r="P774" i="9"/>
  <c r="L774" i="9"/>
  <c r="O778" i="9"/>
  <c r="U152" i="5" s="1"/>
  <c r="K778" i="9"/>
  <c r="Q152" i="5" s="1"/>
  <c r="N778" i="9"/>
  <c r="T152" i="5" s="1"/>
  <c r="M778" i="9"/>
  <c r="S152" i="5" s="1"/>
  <c r="P778" i="9"/>
  <c r="V152" i="5" s="1"/>
  <c r="L778" i="9"/>
  <c r="R152" i="5" s="1"/>
  <c r="O782" i="9"/>
  <c r="K782" i="9"/>
  <c r="N782" i="9"/>
  <c r="M782" i="9"/>
  <c r="P782" i="9"/>
  <c r="L782" i="9"/>
  <c r="O786" i="9"/>
  <c r="K786" i="9"/>
  <c r="N786" i="9"/>
  <c r="M786" i="9"/>
  <c r="P786" i="9"/>
  <c r="L786" i="9"/>
  <c r="O790" i="9"/>
  <c r="K790" i="9"/>
  <c r="N790" i="9"/>
  <c r="M790" i="9"/>
  <c r="P790" i="9"/>
  <c r="L790" i="9"/>
  <c r="O794" i="9"/>
  <c r="K794" i="9"/>
  <c r="N794" i="9"/>
  <c r="M794" i="9"/>
  <c r="P794" i="9"/>
  <c r="L794" i="9"/>
  <c r="O798" i="9"/>
  <c r="K798" i="9"/>
  <c r="N798" i="9"/>
  <c r="M798" i="9"/>
  <c r="P798" i="9"/>
  <c r="L798" i="9"/>
  <c r="O802" i="9"/>
  <c r="K802" i="9"/>
  <c r="N802" i="9"/>
  <c r="M802" i="9"/>
  <c r="P802" i="9"/>
  <c r="L802" i="9"/>
  <c r="O806" i="9"/>
  <c r="U162" i="5" s="1"/>
  <c r="K806" i="9"/>
  <c r="Q162" i="5" s="1"/>
  <c r="N806" i="9"/>
  <c r="T162" i="5" s="1"/>
  <c r="M806" i="9"/>
  <c r="S162" i="5" s="1"/>
  <c r="P806" i="9"/>
  <c r="V162" i="5" s="1"/>
  <c r="L806" i="9"/>
  <c r="R162" i="5" s="1"/>
  <c r="O810" i="9"/>
  <c r="K810" i="9"/>
  <c r="N810" i="9"/>
  <c r="M810" i="9"/>
  <c r="P810" i="9"/>
  <c r="L810" i="9"/>
  <c r="O814" i="9"/>
  <c r="U145" i="5" s="1"/>
  <c r="K814" i="9"/>
  <c r="Q145" i="5" s="1"/>
  <c r="N814" i="9"/>
  <c r="T145" i="5" s="1"/>
  <c r="M814" i="9"/>
  <c r="S145" i="5" s="1"/>
  <c r="P814" i="9"/>
  <c r="V145" i="5" s="1"/>
  <c r="L814" i="9"/>
  <c r="R145" i="5" s="1"/>
  <c r="O818" i="9"/>
  <c r="K818" i="9"/>
  <c r="N818" i="9"/>
  <c r="M818" i="9"/>
  <c r="P818" i="9"/>
  <c r="L818" i="9"/>
  <c r="O822" i="9"/>
  <c r="K822" i="9"/>
  <c r="N822" i="9"/>
  <c r="M822" i="9"/>
  <c r="P822" i="9"/>
  <c r="L822" i="9"/>
  <c r="O826" i="9"/>
  <c r="K826" i="9"/>
  <c r="N826" i="9"/>
  <c r="M826" i="9"/>
  <c r="P826" i="9"/>
  <c r="L826" i="9"/>
  <c r="O830" i="9"/>
  <c r="K830" i="9"/>
  <c r="N830" i="9"/>
  <c r="M830" i="9"/>
  <c r="P830" i="9"/>
  <c r="L830" i="9"/>
  <c r="O834" i="9"/>
  <c r="U46" i="5" s="1"/>
  <c r="K834" i="9"/>
  <c r="Q46" i="5" s="1"/>
  <c r="N834" i="9"/>
  <c r="T46" i="5" s="1"/>
  <c r="M834" i="9"/>
  <c r="S46" i="5" s="1"/>
  <c r="P834" i="9"/>
  <c r="V46" i="5" s="1"/>
  <c r="L834" i="9"/>
  <c r="R46" i="5" s="1"/>
  <c r="O838" i="9"/>
  <c r="U43" i="5" s="1"/>
  <c r="K838" i="9"/>
  <c r="Q43" i="5" s="1"/>
  <c r="N838" i="9"/>
  <c r="T43" i="5" s="1"/>
  <c r="M838" i="9"/>
  <c r="S43" i="5" s="1"/>
  <c r="P838" i="9"/>
  <c r="V43" i="5" s="1"/>
  <c r="L838" i="9"/>
  <c r="R43" i="5" s="1"/>
  <c r="O842" i="9"/>
  <c r="K842" i="9"/>
  <c r="N842" i="9"/>
  <c r="M842" i="9"/>
  <c r="P842" i="9"/>
  <c r="L842" i="9"/>
  <c r="M703" i="9"/>
  <c r="P703" i="9"/>
  <c r="L703" i="9"/>
  <c r="O703" i="9"/>
  <c r="K703" i="9"/>
  <c r="N703" i="9"/>
  <c r="M707" i="9"/>
  <c r="P707" i="9"/>
  <c r="L707" i="9"/>
  <c r="O707" i="9"/>
  <c r="K707" i="9"/>
  <c r="N707" i="9"/>
  <c r="M711" i="9"/>
  <c r="S93" i="5" s="1"/>
  <c r="P711" i="9"/>
  <c r="V93" i="5" s="1"/>
  <c r="L711" i="9"/>
  <c r="R93" i="5" s="1"/>
  <c r="O711" i="9"/>
  <c r="U93" i="5" s="1"/>
  <c r="K711" i="9"/>
  <c r="Q93" i="5" s="1"/>
  <c r="N711" i="9"/>
  <c r="T93" i="5" s="1"/>
  <c r="M715" i="9"/>
  <c r="P715" i="9"/>
  <c r="L715" i="9"/>
  <c r="O715" i="9"/>
  <c r="K715" i="9"/>
  <c r="N715" i="9"/>
  <c r="M719" i="9"/>
  <c r="P719" i="9"/>
  <c r="L719" i="9"/>
  <c r="O719" i="9"/>
  <c r="K719" i="9"/>
  <c r="N719" i="9"/>
  <c r="M723" i="9"/>
  <c r="P723" i="9"/>
  <c r="L723" i="9"/>
  <c r="O723" i="9"/>
  <c r="K723" i="9"/>
  <c r="N723" i="9"/>
  <c r="N22" i="9"/>
  <c r="P22" i="9"/>
  <c r="L22" i="9"/>
  <c r="M22" i="9"/>
  <c r="K22" i="9"/>
  <c r="O22" i="9"/>
  <c r="N26" i="9"/>
  <c r="P26" i="9"/>
  <c r="L26" i="9"/>
  <c r="M26" i="9"/>
  <c r="K26" i="9"/>
  <c r="O26" i="9"/>
  <c r="N30" i="9"/>
  <c r="P30" i="9"/>
  <c r="L30" i="9"/>
  <c r="M30" i="9"/>
  <c r="K30" i="9"/>
  <c r="O30" i="9"/>
  <c r="N34" i="9"/>
  <c r="P34" i="9"/>
  <c r="L34" i="9"/>
  <c r="M34" i="9"/>
  <c r="K34" i="9"/>
  <c r="O34" i="9"/>
  <c r="N38" i="9"/>
  <c r="P38" i="9"/>
  <c r="L38" i="9"/>
  <c r="M38" i="9"/>
  <c r="K38" i="9"/>
  <c r="O38" i="9"/>
  <c r="N42" i="9"/>
  <c r="P42" i="9"/>
  <c r="L42" i="9"/>
  <c r="M42" i="9"/>
  <c r="K42" i="9"/>
  <c r="O42" i="9"/>
  <c r="N46" i="9"/>
  <c r="P46" i="9"/>
  <c r="L46" i="9"/>
  <c r="M46" i="9"/>
  <c r="K46" i="9"/>
  <c r="O46" i="9"/>
  <c r="N50" i="9"/>
  <c r="P50" i="9"/>
  <c r="L50" i="9"/>
  <c r="M50" i="9"/>
  <c r="K50" i="9"/>
  <c r="O50" i="9"/>
  <c r="N54" i="9"/>
  <c r="P54" i="9"/>
  <c r="L54" i="9"/>
  <c r="M54" i="9"/>
  <c r="K54" i="9"/>
  <c r="O54" i="9"/>
  <c r="N56" i="9"/>
  <c r="P56" i="9"/>
  <c r="L56" i="9"/>
  <c r="O56" i="9"/>
  <c r="M56" i="9"/>
  <c r="K56" i="9"/>
  <c r="P59" i="9"/>
  <c r="L59" i="9"/>
  <c r="N59" i="9"/>
  <c r="O59" i="9"/>
  <c r="M59" i="9"/>
  <c r="K59" i="9"/>
  <c r="P63" i="9"/>
  <c r="L63" i="9"/>
  <c r="N63" i="9"/>
  <c r="O63" i="9"/>
  <c r="M63" i="9"/>
  <c r="K63" i="9"/>
  <c r="P67" i="9"/>
  <c r="L67" i="9"/>
  <c r="N67" i="9"/>
  <c r="O67" i="9"/>
  <c r="M67" i="9"/>
  <c r="K67" i="9"/>
  <c r="P71" i="9"/>
  <c r="L71" i="9"/>
  <c r="N71" i="9"/>
  <c r="O71" i="9"/>
  <c r="M71" i="9"/>
  <c r="K71" i="9"/>
  <c r="P75" i="9"/>
  <c r="L75" i="9"/>
  <c r="N75" i="9"/>
  <c r="O75" i="9"/>
  <c r="M75" i="9"/>
  <c r="K75" i="9"/>
  <c r="P79" i="9"/>
  <c r="L79" i="9"/>
  <c r="N79" i="9"/>
  <c r="O79" i="9"/>
  <c r="M79" i="9"/>
  <c r="K79" i="9"/>
  <c r="P83" i="9"/>
  <c r="L83" i="9"/>
  <c r="N83" i="9"/>
  <c r="O83" i="9"/>
  <c r="M83" i="9"/>
  <c r="K83" i="9"/>
  <c r="P87" i="9"/>
  <c r="L87" i="9"/>
  <c r="N87" i="9"/>
  <c r="O87" i="9"/>
  <c r="M87" i="9"/>
  <c r="K87" i="9"/>
  <c r="P91" i="9"/>
  <c r="L91" i="9"/>
  <c r="N91" i="9"/>
  <c r="O91" i="9"/>
  <c r="M91" i="9"/>
  <c r="K91" i="9"/>
  <c r="P95" i="9"/>
  <c r="L95" i="9"/>
  <c r="N95" i="9"/>
  <c r="O95" i="9"/>
  <c r="M95" i="9"/>
  <c r="K95" i="9"/>
  <c r="P99" i="9"/>
  <c r="L99" i="9"/>
  <c r="N99" i="9"/>
  <c r="O99" i="9"/>
  <c r="M99" i="9"/>
  <c r="K99" i="9"/>
  <c r="P103" i="9"/>
  <c r="L103" i="9"/>
  <c r="O103" i="9"/>
  <c r="N103" i="9"/>
  <c r="M103" i="9"/>
  <c r="K103" i="9"/>
  <c r="M107" i="9"/>
  <c r="P107" i="9"/>
  <c r="L107" i="9"/>
  <c r="O107" i="9"/>
  <c r="K107" i="9"/>
  <c r="N107" i="9"/>
  <c r="P111" i="9"/>
  <c r="V53" i="5" s="1"/>
  <c r="L111" i="9"/>
  <c r="R53" i="5" s="1"/>
  <c r="O111" i="9"/>
  <c r="U53" i="5" s="1"/>
  <c r="K111" i="9"/>
  <c r="Q53" i="5" s="1"/>
  <c r="N111" i="9"/>
  <c r="T53" i="5" s="1"/>
  <c r="M111" i="9"/>
  <c r="S53" i="5" s="1"/>
  <c r="M119" i="9"/>
  <c r="P119" i="9"/>
  <c r="L119" i="9"/>
  <c r="K119" i="9"/>
  <c r="O119" i="9"/>
  <c r="N119" i="9"/>
  <c r="P123" i="9"/>
  <c r="L123" i="9"/>
  <c r="O123" i="9"/>
  <c r="K123" i="9"/>
  <c r="N123" i="9"/>
  <c r="M123" i="9"/>
  <c r="M127" i="9"/>
  <c r="P127" i="9"/>
  <c r="L127" i="9"/>
  <c r="K127" i="9"/>
  <c r="O127" i="9"/>
  <c r="N127" i="9"/>
  <c r="M131" i="9"/>
  <c r="P131" i="9"/>
  <c r="L131" i="9"/>
  <c r="O131" i="9"/>
  <c r="K131" i="9"/>
  <c r="N131" i="9"/>
  <c r="M136" i="9"/>
  <c r="P136" i="9"/>
  <c r="L136" i="9"/>
  <c r="O136" i="9"/>
  <c r="K136" i="9"/>
  <c r="N136" i="9"/>
  <c r="M140" i="9"/>
  <c r="P140" i="9"/>
  <c r="L140" i="9"/>
  <c r="K140" i="9"/>
  <c r="O140" i="9"/>
  <c r="N140" i="9"/>
  <c r="M144" i="9"/>
  <c r="P144" i="9"/>
  <c r="L144" i="9"/>
  <c r="O144" i="9"/>
  <c r="K144" i="9"/>
  <c r="N144" i="9"/>
  <c r="M148" i="9"/>
  <c r="P148" i="9"/>
  <c r="L148" i="9"/>
  <c r="O148" i="9"/>
  <c r="K148" i="9"/>
  <c r="N148" i="9"/>
  <c r="M152" i="9"/>
  <c r="P152" i="9"/>
  <c r="L152" i="9"/>
  <c r="O152" i="9"/>
  <c r="K152" i="9"/>
  <c r="N152" i="9"/>
  <c r="M156" i="9"/>
  <c r="P156" i="9"/>
  <c r="L156" i="9"/>
  <c r="O156" i="9"/>
  <c r="K156" i="9"/>
  <c r="N156" i="9"/>
  <c r="M160" i="9"/>
  <c r="P160" i="9"/>
  <c r="L160" i="9"/>
  <c r="O160" i="9"/>
  <c r="K160" i="9"/>
  <c r="N160" i="9"/>
  <c r="M172" i="9"/>
  <c r="P172" i="9"/>
  <c r="L172" i="9"/>
  <c r="O172" i="9"/>
  <c r="K172" i="9"/>
  <c r="N172" i="9"/>
  <c r="M176" i="9"/>
  <c r="P176" i="9"/>
  <c r="L176" i="9"/>
  <c r="O176" i="9"/>
  <c r="K176" i="9"/>
  <c r="N176" i="9"/>
  <c r="M180" i="9"/>
  <c r="P180" i="9"/>
  <c r="L180" i="9"/>
  <c r="O180" i="9"/>
  <c r="K180" i="9"/>
  <c r="N180" i="9"/>
  <c r="M184" i="9"/>
  <c r="P184" i="9"/>
  <c r="L184" i="9"/>
  <c r="O184" i="9"/>
  <c r="K184" i="9"/>
  <c r="N184" i="9"/>
  <c r="M188" i="9"/>
  <c r="P188" i="9"/>
  <c r="L188" i="9"/>
  <c r="O188" i="9"/>
  <c r="K188" i="9"/>
  <c r="N188" i="9"/>
  <c r="M192" i="9"/>
  <c r="P192" i="9"/>
  <c r="L192" i="9"/>
  <c r="O192" i="9"/>
  <c r="K192" i="9"/>
  <c r="N192" i="9"/>
  <c r="M196" i="9"/>
  <c r="P196" i="9"/>
  <c r="L196" i="9"/>
  <c r="O196" i="9"/>
  <c r="K196" i="9"/>
  <c r="N196" i="9"/>
  <c r="M200" i="9"/>
  <c r="P200" i="9"/>
  <c r="L200" i="9"/>
  <c r="O200" i="9"/>
  <c r="K200" i="9"/>
  <c r="N200" i="9"/>
  <c r="M204" i="9"/>
  <c r="P204" i="9"/>
  <c r="L204" i="9"/>
  <c r="O204" i="9"/>
  <c r="K204" i="9"/>
  <c r="N204" i="9"/>
  <c r="M208" i="9"/>
  <c r="P208" i="9"/>
  <c r="L208" i="9"/>
  <c r="O208" i="9"/>
  <c r="K208" i="9"/>
  <c r="N208" i="9"/>
  <c r="M212" i="9"/>
  <c r="P212" i="9"/>
  <c r="L212" i="9"/>
  <c r="O212" i="9"/>
  <c r="K212" i="9"/>
  <c r="N212" i="9"/>
  <c r="P216" i="9"/>
  <c r="L216" i="9"/>
  <c r="O216" i="9"/>
  <c r="K216" i="9"/>
  <c r="N216" i="9"/>
  <c r="M216" i="9"/>
  <c r="P220" i="9"/>
  <c r="L220" i="9"/>
  <c r="O220" i="9"/>
  <c r="K220" i="9"/>
  <c r="N220" i="9"/>
  <c r="M220" i="9"/>
  <c r="P224" i="9"/>
  <c r="L224" i="9"/>
  <c r="O224" i="9"/>
  <c r="K224" i="9"/>
  <c r="N224" i="9"/>
  <c r="M224" i="9"/>
  <c r="P228" i="9"/>
  <c r="L228" i="9"/>
  <c r="O228" i="9"/>
  <c r="K228" i="9"/>
  <c r="N228" i="9"/>
  <c r="M228" i="9"/>
  <c r="P232" i="9"/>
  <c r="L232" i="9"/>
  <c r="O232" i="9"/>
  <c r="K232" i="9"/>
  <c r="N232" i="9"/>
  <c r="M232" i="9"/>
  <c r="P236" i="9"/>
  <c r="V98" i="5" s="1"/>
  <c r="L236" i="9"/>
  <c r="O236" i="9"/>
  <c r="U98" i="5" s="1"/>
  <c r="K236" i="9"/>
  <c r="Q98" i="5" s="1"/>
  <c r="N236" i="9"/>
  <c r="T98" i="5" s="1"/>
  <c r="M236" i="9"/>
  <c r="S98" i="5" s="1"/>
  <c r="P240" i="9"/>
  <c r="L240" i="9"/>
  <c r="O240" i="9"/>
  <c r="K240" i="9"/>
  <c r="N240" i="9"/>
  <c r="M240" i="9"/>
  <c r="P244" i="9"/>
  <c r="V111" i="5" s="1"/>
  <c r="L244" i="9"/>
  <c r="O244" i="9"/>
  <c r="U111" i="5" s="1"/>
  <c r="K244" i="9"/>
  <c r="Q111" i="5" s="1"/>
  <c r="N244" i="9"/>
  <c r="T111" i="5" s="1"/>
  <c r="M244" i="9"/>
  <c r="S111" i="5" s="1"/>
  <c r="P248" i="9"/>
  <c r="L248" i="9"/>
  <c r="O248" i="9"/>
  <c r="K248" i="9"/>
  <c r="N248" i="9"/>
  <c r="M248" i="9"/>
  <c r="P252" i="9"/>
  <c r="L252" i="9"/>
  <c r="O252" i="9"/>
  <c r="K252" i="9"/>
  <c r="N252" i="9"/>
  <c r="M252" i="9"/>
  <c r="P256" i="9"/>
  <c r="L256" i="9"/>
  <c r="O256" i="9"/>
  <c r="K256" i="9"/>
  <c r="N256" i="9"/>
  <c r="M256" i="9"/>
  <c r="N260" i="9"/>
  <c r="M260" i="9"/>
  <c r="P260" i="9"/>
  <c r="L260" i="9"/>
  <c r="O260" i="9"/>
  <c r="K260" i="9"/>
  <c r="N264" i="9"/>
  <c r="M264" i="9"/>
  <c r="P264" i="9"/>
  <c r="L264" i="9"/>
  <c r="O264" i="9"/>
  <c r="K264" i="9"/>
  <c r="N268" i="9"/>
  <c r="M268" i="9"/>
  <c r="P268" i="9"/>
  <c r="L268" i="9"/>
  <c r="O268" i="9"/>
  <c r="K268" i="9"/>
  <c r="N272" i="9"/>
  <c r="M272" i="9"/>
  <c r="P272" i="9"/>
  <c r="L272" i="9"/>
  <c r="O272" i="9"/>
  <c r="K272" i="9"/>
  <c r="N276" i="9"/>
  <c r="M276" i="9"/>
  <c r="P276" i="9"/>
  <c r="L276" i="9"/>
  <c r="O276" i="9"/>
  <c r="K276" i="9"/>
  <c r="Q9" i="5" s="1"/>
  <c r="N280" i="9"/>
  <c r="M280" i="9"/>
  <c r="P280" i="9"/>
  <c r="L280" i="9"/>
  <c r="O280" i="9"/>
  <c r="K280" i="9"/>
  <c r="N284" i="9"/>
  <c r="M284" i="9"/>
  <c r="P284" i="9"/>
  <c r="L284" i="9"/>
  <c r="O284" i="9"/>
  <c r="K284" i="9"/>
  <c r="N288" i="9"/>
  <c r="M288" i="9"/>
  <c r="P288" i="9"/>
  <c r="L288" i="9"/>
  <c r="O288" i="9"/>
  <c r="K288" i="9"/>
  <c r="N292" i="9"/>
  <c r="M292" i="9"/>
  <c r="P292" i="9"/>
  <c r="L292" i="9"/>
  <c r="O292" i="9"/>
  <c r="K292" i="9"/>
  <c r="N296" i="9"/>
  <c r="M296" i="9"/>
  <c r="P296" i="9"/>
  <c r="L296" i="9"/>
  <c r="O296" i="9"/>
  <c r="K296" i="9"/>
  <c r="N300" i="9"/>
  <c r="M300" i="9"/>
  <c r="P300" i="9"/>
  <c r="L300" i="9"/>
  <c r="O300" i="9"/>
  <c r="K300" i="9"/>
  <c r="N304" i="9"/>
  <c r="M304" i="9"/>
  <c r="P304" i="9"/>
  <c r="L304" i="9"/>
  <c r="O304" i="9"/>
  <c r="K304" i="9"/>
  <c r="N308" i="9"/>
  <c r="M308" i="9"/>
  <c r="P308" i="9"/>
  <c r="L308" i="9"/>
  <c r="O308" i="9"/>
  <c r="K308" i="9"/>
  <c r="N312" i="9"/>
  <c r="T10" i="5" s="1"/>
  <c r="K10" i="5" s="1"/>
  <c r="M312" i="9"/>
  <c r="S10" i="5" s="1"/>
  <c r="J10" i="5" s="1"/>
  <c r="P312" i="9"/>
  <c r="V10" i="5" s="1"/>
  <c r="M10" i="5" s="1"/>
  <c r="L312" i="9"/>
  <c r="R10" i="5" s="1"/>
  <c r="I10" i="5" s="1"/>
  <c r="O312" i="9"/>
  <c r="U10" i="5" s="1"/>
  <c r="L10" i="5" s="1"/>
  <c r="K312" i="9"/>
  <c r="Q10" i="5" s="1"/>
  <c r="N316" i="9"/>
  <c r="M316" i="9"/>
  <c r="P316" i="9"/>
  <c r="L316" i="9"/>
  <c r="O316" i="9"/>
  <c r="K316" i="9"/>
  <c r="N320" i="9"/>
  <c r="M320" i="9"/>
  <c r="P320" i="9"/>
  <c r="L320" i="9"/>
  <c r="O320" i="9"/>
  <c r="K320" i="9"/>
  <c r="N324" i="9"/>
  <c r="M324" i="9"/>
  <c r="P324" i="9"/>
  <c r="L324" i="9"/>
  <c r="O324" i="9"/>
  <c r="K324" i="9"/>
  <c r="N328" i="9"/>
  <c r="M328" i="9"/>
  <c r="P328" i="9"/>
  <c r="L328" i="9"/>
  <c r="O328" i="9"/>
  <c r="K328" i="9"/>
  <c r="N332" i="9"/>
  <c r="M332" i="9"/>
  <c r="P332" i="9"/>
  <c r="L332" i="9"/>
  <c r="O332" i="9"/>
  <c r="K332" i="9"/>
  <c r="N336" i="9"/>
  <c r="M336" i="9"/>
  <c r="P336" i="9"/>
  <c r="L336" i="9"/>
  <c r="O336" i="9"/>
  <c r="K336" i="9"/>
  <c r="N340" i="9"/>
  <c r="M340" i="9"/>
  <c r="P340" i="9"/>
  <c r="L340" i="9"/>
  <c r="O340" i="9"/>
  <c r="K340" i="9"/>
  <c r="N344" i="9"/>
  <c r="M344" i="9"/>
  <c r="P344" i="9"/>
  <c r="L344" i="9"/>
  <c r="O344" i="9"/>
  <c r="K344" i="9"/>
  <c r="N348" i="9"/>
  <c r="T72" i="5" s="1"/>
  <c r="K72" i="5" s="1"/>
  <c r="M348" i="9"/>
  <c r="P348" i="9"/>
  <c r="V72" i="5" s="1"/>
  <c r="M72" i="5" s="1"/>
  <c r="L348" i="9"/>
  <c r="O348" i="9"/>
  <c r="U72" i="5" s="1"/>
  <c r="L72" i="5" s="1"/>
  <c r="K348" i="9"/>
  <c r="N352" i="9"/>
  <c r="M352" i="9"/>
  <c r="P352" i="9"/>
  <c r="L352" i="9"/>
  <c r="O352" i="9"/>
  <c r="K352" i="9"/>
  <c r="N356" i="9"/>
  <c r="T143" i="5" s="1"/>
  <c r="M356" i="9"/>
  <c r="S143" i="5" s="1"/>
  <c r="P356" i="9"/>
  <c r="V143" i="5" s="1"/>
  <c r="L356" i="9"/>
  <c r="R143" i="5" s="1"/>
  <c r="O356" i="9"/>
  <c r="U143" i="5" s="1"/>
  <c r="K356" i="9"/>
  <c r="Q143" i="5" s="1"/>
  <c r="N360" i="9"/>
  <c r="M360" i="9"/>
  <c r="P360" i="9"/>
  <c r="L360" i="9"/>
  <c r="O360" i="9"/>
  <c r="K360" i="9"/>
  <c r="N364" i="9"/>
  <c r="M364" i="9"/>
  <c r="P364" i="9"/>
  <c r="L364" i="9"/>
  <c r="O364" i="9"/>
  <c r="K364" i="9"/>
  <c r="N368" i="9"/>
  <c r="M368" i="9"/>
  <c r="P368" i="9"/>
  <c r="L368" i="9"/>
  <c r="O368" i="9"/>
  <c r="K368" i="9"/>
  <c r="N372" i="9"/>
  <c r="M372" i="9"/>
  <c r="P372" i="9"/>
  <c r="L372" i="9"/>
  <c r="O372" i="9"/>
  <c r="K372" i="9"/>
  <c r="P377" i="9"/>
  <c r="L377" i="9"/>
  <c r="O377" i="9"/>
  <c r="K377" i="9"/>
  <c r="N377" i="9"/>
  <c r="M377" i="9"/>
  <c r="P389" i="9"/>
  <c r="L389" i="9"/>
  <c r="O389" i="9"/>
  <c r="K389" i="9"/>
  <c r="N389" i="9"/>
  <c r="M389" i="9"/>
  <c r="P393" i="9"/>
  <c r="L393" i="9"/>
  <c r="O393" i="9"/>
  <c r="K393" i="9"/>
  <c r="N393" i="9"/>
  <c r="M393" i="9"/>
  <c r="P397" i="9"/>
  <c r="L397" i="9"/>
  <c r="O397" i="9"/>
  <c r="K397" i="9"/>
  <c r="N397" i="9"/>
  <c r="M397" i="9"/>
  <c r="P401" i="9"/>
  <c r="L401" i="9"/>
  <c r="O401" i="9"/>
  <c r="K401" i="9"/>
  <c r="N401" i="9"/>
  <c r="M401" i="9"/>
  <c r="P405" i="9"/>
  <c r="V78" i="5" s="1"/>
  <c r="M78" i="5" s="1"/>
  <c r="L405" i="9"/>
  <c r="O405" i="9"/>
  <c r="U78" i="5" s="1"/>
  <c r="L78" i="5" s="1"/>
  <c r="K405" i="9"/>
  <c r="Q78" i="5" s="1"/>
  <c r="N405" i="9"/>
  <c r="T78" i="5" s="1"/>
  <c r="K78" i="5" s="1"/>
  <c r="M405" i="9"/>
  <c r="P409" i="9"/>
  <c r="L409" i="9"/>
  <c r="O409" i="9"/>
  <c r="K409" i="9"/>
  <c r="N409" i="9"/>
  <c r="M409" i="9"/>
  <c r="P413" i="9"/>
  <c r="L413" i="9"/>
  <c r="O413" i="9"/>
  <c r="K413" i="9"/>
  <c r="N413" i="9"/>
  <c r="M413" i="9"/>
  <c r="P417" i="9"/>
  <c r="L417" i="9"/>
  <c r="O417" i="9"/>
  <c r="K417" i="9"/>
  <c r="N417" i="9"/>
  <c r="M417" i="9"/>
  <c r="P421" i="9"/>
  <c r="L421" i="9"/>
  <c r="O421" i="9"/>
  <c r="K421" i="9"/>
  <c r="N421" i="9"/>
  <c r="M421" i="9"/>
  <c r="P425" i="9"/>
  <c r="L425" i="9"/>
  <c r="O425" i="9"/>
  <c r="K425" i="9"/>
  <c r="N425" i="9"/>
  <c r="M425" i="9"/>
  <c r="P429" i="9"/>
  <c r="L429" i="9"/>
  <c r="O429" i="9"/>
  <c r="K429" i="9"/>
  <c r="N429" i="9"/>
  <c r="M429" i="9"/>
  <c r="P433" i="9"/>
  <c r="L433" i="9"/>
  <c r="O433" i="9"/>
  <c r="K433" i="9"/>
  <c r="N433" i="9"/>
  <c r="M433" i="9"/>
  <c r="P437" i="9"/>
  <c r="L437" i="9"/>
  <c r="O437" i="9"/>
  <c r="K437" i="9"/>
  <c r="N437" i="9"/>
  <c r="M437" i="9"/>
  <c r="P441" i="9"/>
  <c r="L441" i="9"/>
  <c r="O441" i="9"/>
  <c r="K441" i="9"/>
  <c r="N441" i="9"/>
  <c r="M441" i="9"/>
  <c r="P445" i="9"/>
  <c r="L445" i="9"/>
  <c r="O445" i="9"/>
  <c r="K445" i="9"/>
  <c r="N445" i="9"/>
  <c r="M445" i="9"/>
  <c r="P449" i="9"/>
  <c r="L449" i="9"/>
  <c r="O449" i="9"/>
  <c r="K449" i="9"/>
  <c r="N449" i="9"/>
  <c r="M449" i="9"/>
  <c r="P453" i="9"/>
  <c r="L453" i="9"/>
  <c r="O453" i="9"/>
  <c r="K453" i="9"/>
  <c r="N453" i="9"/>
  <c r="M453" i="9"/>
  <c r="P457" i="9"/>
  <c r="L457" i="9"/>
  <c r="O457" i="9"/>
  <c r="K457" i="9"/>
  <c r="N457" i="9"/>
  <c r="M457" i="9"/>
  <c r="P461" i="9"/>
  <c r="L461" i="9"/>
  <c r="O461" i="9"/>
  <c r="K461" i="9"/>
  <c r="N461" i="9"/>
  <c r="M461" i="9"/>
  <c r="P465" i="9"/>
  <c r="L465" i="9"/>
  <c r="O465" i="9"/>
  <c r="K465" i="9"/>
  <c r="N465" i="9"/>
  <c r="M465" i="9"/>
  <c r="P469" i="9"/>
  <c r="L469" i="9"/>
  <c r="O469" i="9"/>
  <c r="K469" i="9"/>
  <c r="N469" i="9"/>
  <c r="M469" i="9"/>
  <c r="P473" i="9"/>
  <c r="L473" i="9"/>
  <c r="O473" i="9"/>
  <c r="K473" i="9"/>
  <c r="N473" i="9"/>
  <c r="M473" i="9"/>
  <c r="P477" i="9"/>
  <c r="L477" i="9"/>
  <c r="O477" i="9"/>
  <c r="K477" i="9"/>
  <c r="N477" i="9"/>
  <c r="M477" i="9"/>
  <c r="P481" i="9"/>
  <c r="L481" i="9"/>
  <c r="O481" i="9"/>
  <c r="K481" i="9"/>
  <c r="N481" i="9"/>
  <c r="M481" i="9"/>
  <c r="P485" i="9"/>
  <c r="L485" i="9"/>
  <c r="O485" i="9"/>
  <c r="K485" i="9"/>
  <c r="N485" i="9"/>
  <c r="M485" i="9"/>
  <c r="P489" i="9"/>
  <c r="L489" i="9"/>
  <c r="O489" i="9"/>
  <c r="K489" i="9"/>
  <c r="N489" i="9"/>
  <c r="M489" i="9"/>
  <c r="P493" i="9"/>
  <c r="L493" i="9"/>
  <c r="O493" i="9"/>
  <c r="K493" i="9"/>
  <c r="N493" i="9"/>
  <c r="M493" i="9"/>
  <c r="M497" i="9"/>
  <c r="P497" i="9"/>
  <c r="L497" i="9"/>
  <c r="O497" i="9"/>
  <c r="K497" i="9"/>
  <c r="N497" i="9"/>
  <c r="M501" i="9"/>
  <c r="P501" i="9"/>
  <c r="L501" i="9"/>
  <c r="O501" i="9"/>
  <c r="K501" i="9"/>
  <c r="N501" i="9"/>
  <c r="M505" i="9"/>
  <c r="P505" i="9"/>
  <c r="L505" i="9"/>
  <c r="O505" i="9"/>
  <c r="K505" i="9"/>
  <c r="N505" i="9"/>
  <c r="M509" i="9"/>
  <c r="P509" i="9"/>
  <c r="L509" i="9"/>
  <c r="O509" i="9"/>
  <c r="K509" i="9"/>
  <c r="N509" i="9"/>
  <c r="M517" i="9"/>
  <c r="S16" i="5" s="1"/>
  <c r="J16" i="5" s="1"/>
  <c r="P517" i="9"/>
  <c r="V16" i="5" s="1"/>
  <c r="M16" i="5" s="1"/>
  <c r="L517" i="9"/>
  <c r="R16" i="5" s="1"/>
  <c r="I16" i="5" s="1"/>
  <c r="O517" i="9"/>
  <c r="U16" i="5" s="1"/>
  <c r="L16" i="5" s="1"/>
  <c r="K517" i="9"/>
  <c r="Q16" i="5" s="1"/>
  <c r="N517" i="9"/>
  <c r="T16" i="5" s="1"/>
  <c r="K16" i="5" s="1"/>
  <c r="M521" i="9"/>
  <c r="P521" i="9"/>
  <c r="L521" i="9"/>
  <c r="O521" i="9"/>
  <c r="K521" i="9"/>
  <c r="N521" i="9"/>
  <c r="M525" i="9"/>
  <c r="P525" i="9"/>
  <c r="L525" i="9"/>
  <c r="O525" i="9"/>
  <c r="K525" i="9"/>
  <c r="N525" i="9"/>
  <c r="M529" i="9"/>
  <c r="P529" i="9"/>
  <c r="L529" i="9"/>
  <c r="O529" i="9"/>
  <c r="K529" i="9"/>
  <c r="N529" i="9"/>
  <c r="M533" i="9"/>
  <c r="P533" i="9"/>
  <c r="L533" i="9"/>
  <c r="O533" i="9"/>
  <c r="K533" i="9"/>
  <c r="N533" i="9"/>
  <c r="M537" i="9"/>
  <c r="P537" i="9"/>
  <c r="L537" i="9"/>
  <c r="O537" i="9"/>
  <c r="K537" i="9"/>
  <c r="N537" i="9"/>
  <c r="M541" i="9"/>
  <c r="P541" i="9"/>
  <c r="L541" i="9"/>
  <c r="O541" i="9"/>
  <c r="K541" i="9"/>
  <c r="N541" i="9"/>
  <c r="M545" i="9"/>
  <c r="P545" i="9"/>
  <c r="L545" i="9"/>
  <c r="O545" i="9"/>
  <c r="K545" i="9"/>
  <c r="N545" i="9"/>
  <c r="M549" i="9"/>
  <c r="P549" i="9"/>
  <c r="L549" i="9"/>
  <c r="O549" i="9"/>
  <c r="K549" i="9"/>
  <c r="N549" i="9"/>
  <c r="M553" i="9"/>
  <c r="P553" i="9"/>
  <c r="L553" i="9"/>
  <c r="O553" i="9"/>
  <c r="K553" i="9"/>
  <c r="N553" i="9"/>
  <c r="M557" i="9"/>
  <c r="P557" i="9"/>
  <c r="L557" i="9"/>
  <c r="O557" i="9"/>
  <c r="K557" i="9"/>
  <c r="N557" i="9"/>
  <c r="M561" i="9"/>
  <c r="P561" i="9"/>
  <c r="L561" i="9"/>
  <c r="O561" i="9"/>
  <c r="K561" i="9"/>
  <c r="N561" i="9"/>
  <c r="M565" i="9"/>
  <c r="P565" i="9"/>
  <c r="L565" i="9"/>
  <c r="O565" i="9"/>
  <c r="K565" i="9"/>
  <c r="N565" i="9"/>
  <c r="M569" i="9"/>
  <c r="P569" i="9"/>
  <c r="L569" i="9"/>
  <c r="O569" i="9"/>
  <c r="K569" i="9"/>
  <c r="N569" i="9"/>
  <c r="M573" i="9"/>
  <c r="P573" i="9"/>
  <c r="L573" i="9"/>
  <c r="O573" i="9"/>
  <c r="K573" i="9"/>
  <c r="N573" i="9"/>
  <c r="M577" i="9"/>
  <c r="P577" i="9"/>
  <c r="L577" i="9"/>
  <c r="O577" i="9"/>
  <c r="K577" i="9"/>
  <c r="N577" i="9"/>
  <c r="M581" i="9"/>
  <c r="P581" i="9"/>
  <c r="L581" i="9"/>
  <c r="O581" i="9"/>
  <c r="K581" i="9"/>
  <c r="N581" i="9"/>
  <c r="M585" i="9"/>
  <c r="S80" i="5" s="1"/>
  <c r="P585" i="9"/>
  <c r="V80" i="5" s="1"/>
  <c r="L585" i="9"/>
  <c r="R80" i="5" s="1"/>
  <c r="O585" i="9"/>
  <c r="U80" i="5" s="1"/>
  <c r="K585" i="9"/>
  <c r="Q80" i="5" s="1"/>
  <c r="N585" i="9"/>
  <c r="T80" i="5" s="1"/>
  <c r="M589" i="9"/>
  <c r="P589" i="9"/>
  <c r="L589" i="9"/>
  <c r="O589" i="9"/>
  <c r="K589" i="9"/>
  <c r="N589" i="9"/>
  <c r="M593" i="9"/>
  <c r="P593" i="9"/>
  <c r="L593" i="9"/>
  <c r="O593" i="9"/>
  <c r="K593" i="9"/>
  <c r="N593" i="9"/>
  <c r="M597" i="9"/>
  <c r="P597" i="9"/>
  <c r="L597" i="9"/>
  <c r="O597" i="9"/>
  <c r="K597" i="9"/>
  <c r="N597" i="9"/>
  <c r="M601" i="9"/>
  <c r="P601" i="9"/>
  <c r="L601" i="9"/>
  <c r="O601" i="9"/>
  <c r="K601" i="9"/>
  <c r="N601" i="9"/>
  <c r="M605" i="9"/>
  <c r="P605" i="9"/>
  <c r="L605" i="9"/>
  <c r="O605" i="9"/>
  <c r="K605" i="9"/>
  <c r="N605" i="9"/>
  <c r="M609" i="9"/>
  <c r="P609" i="9"/>
  <c r="L609" i="9"/>
  <c r="O609" i="9"/>
  <c r="K609" i="9"/>
  <c r="N609" i="9"/>
  <c r="M613" i="9"/>
  <c r="P613" i="9"/>
  <c r="O613" i="9"/>
  <c r="N613" i="9"/>
  <c r="L613" i="9"/>
  <c r="K613" i="9"/>
  <c r="M617" i="9"/>
  <c r="P617" i="9"/>
  <c r="L617" i="9"/>
  <c r="O617" i="9"/>
  <c r="K617" i="9"/>
  <c r="N617" i="9"/>
  <c r="M621" i="9"/>
  <c r="P621" i="9"/>
  <c r="L621" i="9"/>
  <c r="O621" i="9"/>
  <c r="K621" i="9"/>
  <c r="N621" i="9"/>
  <c r="M625" i="9"/>
  <c r="P625" i="9"/>
  <c r="L625" i="9"/>
  <c r="O625" i="9"/>
  <c r="K625" i="9"/>
  <c r="N625" i="9"/>
  <c r="M629" i="9"/>
  <c r="P629" i="9"/>
  <c r="L629" i="9"/>
  <c r="O629" i="9"/>
  <c r="K629" i="9"/>
  <c r="N629" i="9"/>
  <c r="M633" i="9"/>
  <c r="P633" i="9"/>
  <c r="L633" i="9"/>
  <c r="O633" i="9"/>
  <c r="K633" i="9"/>
  <c r="N633" i="9"/>
  <c r="M637" i="9"/>
  <c r="P637" i="9"/>
  <c r="L637" i="9"/>
  <c r="O637" i="9"/>
  <c r="K637" i="9"/>
  <c r="N637" i="9"/>
  <c r="M641" i="9"/>
  <c r="P641" i="9"/>
  <c r="L641" i="9"/>
  <c r="O641" i="9"/>
  <c r="K641" i="9"/>
  <c r="N641" i="9"/>
  <c r="M645" i="9"/>
  <c r="P645" i="9"/>
  <c r="L645" i="9"/>
  <c r="O645" i="9"/>
  <c r="K645" i="9"/>
  <c r="N645" i="9"/>
  <c r="M649" i="9"/>
  <c r="P649" i="9"/>
  <c r="L649" i="9"/>
  <c r="O649" i="9"/>
  <c r="K649" i="9"/>
  <c r="N649" i="9"/>
  <c r="M653" i="9"/>
  <c r="S113" i="5" s="1"/>
  <c r="P653" i="9"/>
  <c r="V113" i="5" s="1"/>
  <c r="L653" i="9"/>
  <c r="R113" i="5" s="1"/>
  <c r="O653" i="9"/>
  <c r="U113" i="5" s="1"/>
  <c r="K653" i="9"/>
  <c r="Q113" i="5" s="1"/>
  <c r="N653" i="9"/>
  <c r="T113" i="5" s="1"/>
  <c r="M657" i="9"/>
  <c r="P657" i="9"/>
  <c r="L657" i="9"/>
  <c r="O657" i="9"/>
  <c r="K657" i="9"/>
  <c r="N657" i="9"/>
  <c r="M661" i="9"/>
  <c r="P661" i="9"/>
  <c r="L661" i="9"/>
  <c r="O661" i="9"/>
  <c r="K661" i="9"/>
  <c r="N661" i="9"/>
  <c r="M665" i="9"/>
  <c r="P665" i="9"/>
  <c r="L665" i="9"/>
  <c r="O665" i="9"/>
  <c r="K665" i="9"/>
  <c r="N665" i="9"/>
  <c r="M669" i="9"/>
  <c r="P669" i="9"/>
  <c r="L669" i="9"/>
  <c r="O669" i="9"/>
  <c r="K669" i="9"/>
  <c r="N669" i="9"/>
  <c r="M673" i="9"/>
  <c r="P673" i="9"/>
  <c r="L673" i="9"/>
  <c r="O673" i="9"/>
  <c r="K673" i="9"/>
  <c r="N673" i="9"/>
  <c r="M678" i="9"/>
  <c r="P678" i="9"/>
  <c r="L678" i="9"/>
  <c r="O678" i="9"/>
  <c r="K678" i="9"/>
  <c r="N678" i="9"/>
  <c r="M682" i="9"/>
  <c r="P682" i="9"/>
  <c r="L682" i="9"/>
  <c r="O682" i="9"/>
  <c r="K682" i="9"/>
  <c r="N682" i="9"/>
  <c r="S17" i="5"/>
  <c r="V17" i="5"/>
  <c r="R17" i="5"/>
  <c r="U17" i="5"/>
  <c r="Q17" i="5"/>
  <c r="W17" i="5" s="1"/>
  <c r="T17" i="5"/>
  <c r="M694" i="9"/>
  <c r="S64" i="5" s="1"/>
  <c r="P694" i="9"/>
  <c r="L694" i="9"/>
  <c r="R64" i="5" s="1"/>
  <c r="O694" i="9"/>
  <c r="U64" i="5" s="1"/>
  <c r="K694" i="9"/>
  <c r="Q64" i="5" s="1"/>
  <c r="N694" i="9"/>
  <c r="M698" i="9"/>
  <c r="P698" i="9"/>
  <c r="L698" i="9"/>
  <c r="O698" i="9"/>
  <c r="K698" i="9"/>
  <c r="N698" i="9"/>
  <c r="M725" i="9"/>
  <c r="P725" i="9"/>
  <c r="L725" i="9"/>
  <c r="O725" i="9"/>
  <c r="K725" i="9"/>
  <c r="N725" i="9"/>
  <c r="M729" i="9"/>
  <c r="P729" i="9"/>
  <c r="L729" i="9"/>
  <c r="O729" i="9"/>
  <c r="K729" i="9"/>
  <c r="N729" i="9"/>
  <c r="M733" i="9"/>
  <c r="P733" i="9"/>
  <c r="L733" i="9"/>
  <c r="O733" i="9"/>
  <c r="K733" i="9"/>
  <c r="N733" i="9"/>
  <c r="M737" i="9"/>
  <c r="S123" i="5" s="1"/>
  <c r="P737" i="9"/>
  <c r="V123" i="5" s="1"/>
  <c r="L737" i="9"/>
  <c r="R123" i="5" s="1"/>
  <c r="O737" i="9"/>
  <c r="U123" i="5" s="1"/>
  <c r="K737" i="9"/>
  <c r="Q123" i="5" s="1"/>
  <c r="N737" i="9"/>
  <c r="T123" i="5" s="1"/>
  <c r="M741" i="9"/>
  <c r="P741" i="9"/>
  <c r="L741" i="9"/>
  <c r="O741" i="9"/>
  <c r="K741" i="9"/>
  <c r="N741" i="9"/>
  <c r="M745" i="9"/>
  <c r="P745" i="9"/>
  <c r="L745" i="9"/>
  <c r="O745" i="9"/>
  <c r="K745" i="9"/>
  <c r="N745" i="9"/>
  <c r="M749" i="9"/>
  <c r="P749" i="9"/>
  <c r="L749" i="9"/>
  <c r="O749" i="9"/>
  <c r="K749" i="9"/>
  <c r="N749" i="9"/>
  <c r="M753" i="9"/>
  <c r="P753" i="9"/>
  <c r="L753" i="9"/>
  <c r="O753" i="9"/>
  <c r="K753" i="9"/>
  <c r="N753" i="9"/>
  <c r="M757" i="9"/>
  <c r="P757" i="9"/>
  <c r="L757" i="9"/>
  <c r="O757" i="9"/>
  <c r="K757" i="9"/>
  <c r="N757" i="9"/>
  <c r="M761" i="9"/>
  <c r="P761" i="9"/>
  <c r="L761" i="9"/>
  <c r="O761" i="9"/>
  <c r="K761" i="9"/>
  <c r="N761" i="9"/>
  <c r="M765" i="9"/>
  <c r="P765" i="9"/>
  <c r="L765" i="9"/>
  <c r="O765" i="9"/>
  <c r="K765" i="9"/>
  <c r="N765" i="9"/>
  <c r="M769" i="9"/>
  <c r="P769" i="9"/>
  <c r="L769" i="9"/>
  <c r="O769" i="9"/>
  <c r="K769" i="9"/>
  <c r="N769" i="9"/>
  <c r="M773" i="9"/>
  <c r="P773" i="9"/>
  <c r="L773" i="9"/>
  <c r="O773" i="9"/>
  <c r="K773" i="9"/>
  <c r="N773" i="9"/>
  <c r="M777" i="9"/>
  <c r="P777" i="9"/>
  <c r="L777" i="9"/>
  <c r="O777" i="9"/>
  <c r="K777" i="9"/>
  <c r="N777" i="9"/>
  <c r="M781" i="9"/>
  <c r="P781" i="9"/>
  <c r="L781" i="9"/>
  <c r="O781" i="9"/>
  <c r="K781" i="9"/>
  <c r="N781" i="9"/>
  <c r="M785" i="9"/>
  <c r="P785" i="9"/>
  <c r="L785" i="9"/>
  <c r="O785" i="9"/>
  <c r="K785" i="9"/>
  <c r="N785" i="9"/>
  <c r="M789" i="9"/>
  <c r="P789" i="9"/>
  <c r="L789" i="9"/>
  <c r="O789" i="9"/>
  <c r="K789" i="9"/>
  <c r="N789" i="9"/>
  <c r="M793" i="9"/>
  <c r="S161" i="5" s="1"/>
  <c r="P793" i="9"/>
  <c r="V161" i="5" s="1"/>
  <c r="L793" i="9"/>
  <c r="R161" i="5" s="1"/>
  <c r="O793" i="9"/>
  <c r="U161" i="5" s="1"/>
  <c r="K793" i="9"/>
  <c r="Q161" i="5" s="1"/>
  <c r="N793" i="9"/>
  <c r="T161" i="5" s="1"/>
  <c r="M797" i="9"/>
  <c r="S100" i="5" s="1"/>
  <c r="P797" i="9"/>
  <c r="V100" i="5" s="1"/>
  <c r="L797" i="9"/>
  <c r="R100" i="5" s="1"/>
  <c r="O797" i="9"/>
  <c r="U100" i="5" s="1"/>
  <c r="K797" i="9"/>
  <c r="Q100" i="5" s="1"/>
  <c r="N797" i="9"/>
  <c r="T100" i="5" s="1"/>
  <c r="M801" i="9"/>
  <c r="P801" i="9"/>
  <c r="L801" i="9"/>
  <c r="O801" i="9"/>
  <c r="K801" i="9"/>
  <c r="N801" i="9"/>
  <c r="M805" i="9"/>
  <c r="P805" i="9"/>
  <c r="L805" i="9"/>
  <c r="O805" i="9"/>
  <c r="K805" i="9"/>
  <c r="N805" i="9"/>
  <c r="M809" i="9"/>
  <c r="S144" i="5" s="1"/>
  <c r="P809" i="9"/>
  <c r="V144" i="5" s="1"/>
  <c r="L809" i="9"/>
  <c r="R144" i="5" s="1"/>
  <c r="O809" i="9"/>
  <c r="U144" i="5" s="1"/>
  <c r="K809" i="9"/>
  <c r="Q144" i="5" s="1"/>
  <c r="N809" i="9"/>
  <c r="T144" i="5" s="1"/>
  <c r="M813" i="9"/>
  <c r="P813" i="9"/>
  <c r="L813" i="9"/>
  <c r="O813" i="9"/>
  <c r="K813" i="9"/>
  <c r="N813" i="9"/>
  <c r="M817" i="9"/>
  <c r="P817" i="9"/>
  <c r="L817" i="9"/>
  <c r="O817" i="9"/>
  <c r="K817" i="9"/>
  <c r="N817" i="9"/>
  <c r="M821" i="9"/>
  <c r="S108" i="5" s="1"/>
  <c r="P821" i="9"/>
  <c r="V108" i="5" s="1"/>
  <c r="L821" i="9"/>
  <c r="R108" i="5" s="1"/>
  <c r="O821" i="9"/>
  <c r="U108" i="5" s="1"/>
  <c r="K821" i="9"/>
  <c r="Q108" i="5" s="1"/>
  <c r="N821" i="9"/>
  <c r="T108" i="5" s="1"/>
  <c r="M825" i="9"/>
  <c r="P825" i="9"/>
  <c r="L825" i="9"/>
  <c r="O825" i="9"/>
  <c r="K825" i="9"/>
  <c r="N825" i="9"/>
  <c r="M829" i="9"/>
  <c r="P829" i="9"/>
  <c r="L829" i="9"/>
  <c r="O829" i="9"/>
  <c r="K829" i="9"/>
  <c r="N829" i="9"/>
  <c r="M833" i="9"/>
  <c r="P833" i="9"/>
  <c r="L833" i="9"/>
  <c r="O833" i="9"/>
  <c r="K833" i="9"/>
  <c r="N833" i="9"/>
  <c r="M837" i="9"/>
  <c r="S42" i="5" s="1"/>
  <c r="P837" i="9"/>
  <c r="V42" i="5" s="1"/>
  <c r="L837" i="9"/>
  <c r="R42" i="5" s="1"/>
  <c r="O837" i="9"/>
  <c r="U42" i="5" s="1"/>
  <c r="K837" i="9"/>
  <c r="Q42" i="5" s="1"/>
  <c r="N837" i="9"/>
  <c r="T42" i="5" s="1"/>
  <c r="M841" i="9"/>
  <c r="P841" i="9"/>
  <c r="L841" i="9"/>
  <c r="O841" i="9"/>
  <c r="K841" i="9"/>
  <c r="N841" i="9"/>
  <c r="O702" i="9"/>
  <c r="U150" i="5" s="1"/>
  <c r="K702" i="9"/>
  <c r="Q150" i="5" s="1"/>
  <c r="N702" i="9"/>
  <c r="T150" i="5" s="1"/>
  <c r="M702" i="9"/>
  <c r="S150" i="5" s="1"/>
  <c r="P702" i="9"/>
  <c r="V150" i="5" s="1"/>
  <c r="L702" i="9"/>
  <c r="R150" i="5" s="1"/>
  <c r="O706" i="9"/>
  <c r="K706" i="9"/>
  <c r="N706" i="9"/>
  <c r="M706" i="9"/>
  <c r="P706" i="9"/>
  <c r="L706" i="9"/>
  <c r="O710" i="9"/>
  <c r="K710" i="9"/>
  <c r="N710" i="9"/>
  <c r="M710" i="9"/>
  <c r="P710" i="9"/>
  <c r="L710" i="9"/>
  <c r="O714" i="9"/>
  <c r="K714" i="9"/>
  <c r="N714" i="9"/>
  <c r="M714" i="9"/>
  <c r="P714" i="9"/>
  <c r="L714" i="9"/>
  <c r="O718" i="9"/>
  <c r="U166" i="5" s="1"/>
  <c r="K718" i="9"/>
  <c r="Q166" i="5" s="1"/>
  <c r="N718" i="9"/>
  <c r="T166" i="5" s="1"/>
  <c r="M718" i="9"/>
  <c r="S166" i="5" s="1"/>
  <c r="P718" i="9"/>
  <c r="V166" i="5" s="1"/>
  <c r="L718" i="9"/>
  <c r="R166" i="5" s="1"/>
  <c r="O722" i="9"/>
  <c r="K722" i="9"/>
  <c r="N722" i="9"/>
  <c r="M722" i="9"/>
  <c r="P722" i="9"/>
  <c r="L722" i="9"/>
  <c r="P25" i="9"/>
  <c r="V88" i="5" s="1"/>
  <c r="L25" i="9"/>
  <c r="R88" i="5" s="1"/>
  <c r="N25" i="9"/>
  <c r="T88" i="5" s="1"/>
  <c r="K25" i="9"/>
  <c r="Q88" i="5" s="1"/>
  <c r="O25" i="9"/>
  <c r="U88" i="5" s="1"/>
  <c r="M25" i="9"/>
  <c r="S88" i="5" s="1"/>
  <c r="P29" i="9"/>
  <c r="V139" i="5" s="1"/>
  <c r="L29" i="9"/>
  <c r="R139" i="5" s="1"/>
  <c r="N29" i="9"/>
  <c r="T139" i="5" s="1"/>
  <c r="K29" i="9"/>
  <c r="Q139" i="5" s="1"/>
  <c r="O29" i="9"/>
  <c r="U139" i="5" s="1"/>
  <c r="M29" i="9"/>
  <c r="S139" i="5" s="1"/>
  <c r="P33" i="9"/>
  <c r="L33" i="9"/>
  <c r="N33" i="9"/>
  <c r="K33" i="9"/>
  <c r="O33" i="9"/>
  <c r="M33" i="9"/>
  <c r="P37" i="9"/>
  <c r="V140" i="5" s="1"/>
  <c r="L37" i="9"/>
  <c r="R140" i="5" s="1"/>
  <c r="N37" i="9"/>
  <c r="T140" i="5" s="1"/>
  <c r="K37" i="9"/>
  <c r="Q140" i="5" s="1"/>
  <c r="O37" i="9"/>
  <c r="U140" i="5" s="1"/>
  <c r="M37" i="9"/>
  <c r="S140" i="5" s="1"/>
  <c r="P41" i="9"/>
  <c r="L41" i="9"/>
  <c r="N41" i="9"/>
  <c r="K41" i="9"/>
  <c r="O41" i="9"/>
  <c r="M41" i="9"/>
  <c r="P45" i="9"/>
  <c r="L45" i="9"/>
  <c r="N45" i="9"/>
  <c r="K45" i="9"/>
  <c r="O45" i="9"/>
  <c r="M45" i="9"/>
  <c r="P49" i="9"/>
  <c r="L49" i="9"/>
  <c r="N49" i="9"/>
  <c r="K49" i="9"/>
  <c r="O49" i="9"/>
  <c r="M49" i="9"/>
  <c r="P53" i="9"/>
  <c r="L53" i="9"/>
  <c r="N53" i="9"/>
  <c r="K53" i="9"/>
  <c r="O53" i="9"/>
  <c r="M53" i="9"/>
  <c r="N58" i="9"/>
  <c r="P58" i="9"/>
  <c r="L58" i="9"/>
  <c r="O58" i="9"/>
  <c r="M58" i="9"/>
  <c r="K58" i="9"/>
  <c r="N62" i="9"/>
  <c r="T157" i="5" s="1"/>
  <c r="P62" i="9"/>
  <c r="V157" i="5" s="1"/>
  <c r="L62" i="9"/>
  <c r="R157" i="5" s="1"/>
  <c r="O62" i="9"/>
  <c r="U157" i="5" s="1"/>
  <c r="M62" i="9"/>
  <c r="S157" i="5" s="1"/>
  <c r="K62" i="9"/>
  <c r="Q157" i="5" s="1"/>
  <c r="N66" i="9"/>
  <c r="P66" i="9"/>
  <c r="L66" i="9"/>
  <c r="O66" i="9"/>
  <c r="M66" i="9"/>
  <c r="K66" i="9"/>
  <c r="N70" i="9"/>
  <c r="P70" i="9"/>
  <c r="L70" i="9"/>
  <c r="O70" i="9"/>
  <c r="M70" i="9"/>
  <c r="K70" i="9"/>
  <c r="N74" i="9"/>
  <c r="P74" i="9"/>
  <c r="L74" i="9"/>
  <c r="O74" i="9"/>
  <c r="M74" i="9"/>
  <c r="K74" i="9"/>
  <c r="N78" i="9"/>
  <c r="P78" i="9"/>
  <c r="L78" i="9"/>
  <c r="O78" i="9"/>
  <c r="M78" i="9"/>
  <c r="K78" i="9"/>
  <c r="N82" i="9"/>
  <c r="P82" i="9"/>
  <c r="L82" i="9"/>
  <c r="O82" i="9"/>
  <c r="M82" i="9"/>
  <c r="K82" i="9"/>
  <c r="N86" i="9"/>
  <c r="T115" i="5" s="1"/>
  <c r="P86" i="9"/>
  <c r="V115" i="5" s="1"/>
  <c r="L86" i="9"/>
  <c r="R115" i="5" s="1"/>
  <c r="O86" i="9"/>
  <c r="U115" i="5" s="1"/>
  <c r="M86" i="9"/>
  <c r="S115" i="5" s="1"/>
  <c r="K86" i="9"/>
  <c r="Q115" i="5" s="1"/>
  <c r="N90" i="9"/>
  <c r="P90" i="9"/>
  <c r="L90" i="9"/>
  <c r="O90" i="9"/>
  <c r="M90" i="9"/>
  <c r="K90" i="9"/>
  <c r="N94" i="9"/>
  <c r="P94" i="9"/>
  <c r="L94" i="9"/>
  <c r="O94" i="9"/>
  <c r="M94" i="9"/>
  <c r="K94" i="9"/>
  <c r="N98" i="9"/>
  <c r="T118" i="5" s="1"/>
  <c r="P98" i="9"/>
  <c r="V118" i="5" s="1"/>
  <c r="L98" i="9"/>
  <c r="R118" i="5" s="1"/>
  <c r="O98" i="9"/>
  <c r="M98" i="9"/>
  <c r="K98" i="9"/>
  <c r="O102" i="9"/>
  <c r="N102" i="9"/>
  <c r="P102" i="9"/>
  <c r="L102" i="9"/>
  <c r="M102" i="9"/>
  <c r="K102" i="9"/>
  <c r="K106" i="9"/>
  <c r="N106" i="9"/>
  <c r="M106" i="9"/>
  <c r="P106" i="9"/>
  <c r="L106" i="9"/>
  <c r="O106" i="9"/>
  <c r="O110" i="9"/>
  <c r="N110" i="9"/>
  <c r="M110" i="9"/>
  <c r="P110" i="9"/>
  <c r="L110" i="9"/>
  <c r="K110" i="9"/>
  <c r="K118" i="9"/>
  <c r="N118" i="9"/>
  <c r="M118" i="9"/>
  <c r="P118" i="9"/>
  <c r="L118" i="9"/>
  <c r="O118" i="9"/>
  <c r="K122" i="9"/>
  <c r="N122" i="9"/>
  <c r="M122" i="9"/>
  <c r="P122" i="9"/>
  <c r="L122" i="9"/>
  <c r="O122" i="9"/>
  <c r="K126" i="9"/>
  <c r="N126" i="9"/>
  <c r="M126" i="9"/>
  <c r="P126" i="9"/>
  <c r="L126" i="9"/>
  <c r="O126" i="9"/>
  <c r="O130" i="9"/>
  <c r="K130" i="9"/>
  <c r="N130" i="9"/>
  <c r="M130" i="9"/>
  <c r="P130" i="9"/>
  <c r="L130" i="9"/>
  <c r="O135" i="9"/>
  <c r="K135" i="9"/>
  <c r="N135" i="9"/>
  <c r="M135" i="9"/>
  <c r="P135" i="9"/>
  <c r="L135" i="9"/>
  <c r="O139" i="9"/>
  <c r="K139" i="9"/>
  <c r="N139" i="9"/>
  <c r="M139" i="9"/>
  <c r="P139" i="9"/>
  <c r="L139" i="9"/>
  <c r="O143" i="9"/>
  <c r="K143" i="9"/>
  <c r="N143" i="9"/>
  <c r="M143" i="9"/>
  <c r="P143" i="9"/>
  <c r="L143" i="9"/>
  <c r="O147" i="9"/>
  <c r="K147" i="9"/>
  <c r="N147" i="9"/>
  <c r="M147" i="9"/>
  <c r="P147" i="9"/>
  <c r="L147" i="9"/>
  <c r="O155" i="9"/>
  <c r="K155" i="9"/>
  <c r="N155" i="9"/>
  <c r="M155" i="9"/>
  <c r="P155" i="9"/>
  <c r="L155" i="9"/>
  <c r="O159" i="9"/>
  <c r="K159" i="9"/>
  <c r="N159" i="9"/>
  <c r="M159" i="9"/>
  <c r="P159" i="9"/>
  <c r="L159" i="9"/>
  <c r="O163" i="9"/>
  <c r="K163" i="9"/>
  <c r="N163" i="9"/>
  <c r="M163" i="9"/>
  <c r="P163" i="9"/>
  <c r="L163" i="9"/>
  <c r="O175" i="9"/>
  <c r="K175" i="9"/>
  <c r="N175" i="9"/>
  <c r="M175" i="9"/>
  <c r="P175" i="9"/>
  <c r="L175" i="9"/>
  <c r="O179" i="9"/>
  <c r="K179" i="9"/>
  <c r="N179" i="9"/>
  <c r="M179" i="9"/>
  <c r="P179" i="9"/>
  <c r="L179" i="9"/>
  <c r="O183" i="9"/>
  <c r="K183" i="9"/>
  <c r="N183" i="9"/>
  <c r="M183" i="9"/>
  <c r="P183" i="9"/>
  <c r="L183" i="9"/>
  <c r="O187" i="9"/>
  <c r="K187" i="9"/>
  <c r="N187" i="9"/>
  <c r="M187" i="9"/>
  <c r="P187" i="9"/>
  <c r="L187" i="9"/>
  <c r="O191" i="9"/>
  <c r="K191" i="9"/>
  <c r="N191" i="9"/>
  <c r="M191" i="9"/>
  <c r="P191" i="9"/>
  <c r="L191" i="9"/>
  <c r="O195" i="9"/>
  <c r="K195" i="9"/>
  <c r="N195" i="9"/>
  <c r="M195" i="9"/>
  <c r="P195" i="9"/>
  <c r="L195" i="9"/>
  <c r="O199" i="9"/>
  <c r="K199" i="9"/>
  <c r="N199" i="9"/>
  <c r="M199" i="9"/>
  <c r="P199" i="9"/>
  <c r="L199" i="9"/>
  <c r="O203" i="9"/>
  <c r="K203" i="9"/>
  <c r="N203" i="9"/>
  <c r="M203" i="9"/>
  <c r="P203" i="9"/>
  <c r="L203" i="9"/>
  <c r="O207" i="9"/>
  <c r="K207" i="9"/>
  <c r="N207" i="9"/>
  <c r="M207" i="9"/>
  <c r="P207" i="9"/>
  <c r="L207" i="9"/>
  <c r="O211" i="9"/>
  <c r="K211" i="9"/>
  <c r="N211" i="9"/>
  <c r="M211" i="9"/>
  <c r="P211" i="9"/>
  <c r="L211" i="9"/>
  <c r="N215" i="9"/>
  <c r="M215" i="9"/>
  <c r="P215" i="9"/>
  <c r="O215" i="9"/>
  <c r="L215" i="9"/>
  <c r="K215" i="9"/>
  <c r="N219" i="9"/>
  <c r="M219" i="9"/>
  <c r="P219" i="9"/>
  <c r="O219" i="9"/>
  <c r="L219" i="9"/>
  <c r="K219" i="9"/>
  <c r="N223" i="9"/>
  <c r="M223" i="9"/>
  <c r="P223" i="9"/>
  <c r="O223" i="9"/>
  <c r="L223" i="9"/>
  <c r="K223" i="9"/>
  <c r="N227" i="9"/>
  <c r="M227" i="9"/>
  <c r="P227" i="9"/>
  <c r="O227" i="9"/>
  <c r="L227" i="9"/>
  <c r="K227" i="9"/>
  <c r="N231" i="9"/>
  <c r="M231" i="9"/>
  <c r="P231" i="9"/>
  <c r="O231" i="9"/>
  <c r="L231" i="9"/>
  <c r="K231" i="9"/>
  <c r="N235" i="9"/>
  <c r="M235" i="9"/>
  <c r="P235" i="9"/>
  <c r="O235" i="9"/>
  <c r="L235" i="9"/>
  <c r="K235" i="9"/>
  <c r="N239" i="9"/>
  <c r="M239" i="9"/>
  <c r="P239" i="9"/>
  <c r="O239" i="9"/>
  <c r="L239" i="9"/>
  <c r="K239" i="9"/>
  <c r="N243" i="9"/>
  <c r="M243" i="9"/>
  <c r="P243" i="9"/>
  <c r="O243" i="9"/>
  <c r="L243" i="9"/>
  <c r="K243" i="9"/>
  <c r="N247" i="9"/>
  <c r="M247" i="9"/>
  <c r="P247" i="9"/>
  <c r="O247" i="9"/>
  <c r="L247" i="9"/>
  <c r="K247" i="9"/>
  <c r="N251" i="9"/>
  <c r="M251" i="9"/>
  <c r="P251" i="9"/>
  <c r="O251" i="9"/>
  <c r="L251" i="9"/>
  <c r="K251" i="9"/>
  <c r="N255" i="9"/>
  <c r="M255" i="9"/>
  <c r="P255" i="9"/>
  <c r="O255" i="9"/>
  <c r="L255" i="9"/>
  <c r="K255" i="9"/>
  <c r="O259" i="9"/>
  <c r="N259" i="9"/>
  <c r="M259" i="9"/>
  <c r="P259" i="9"/>
  <c r="L259" i="9"/>
  <c r="K259" i="9"/>
  <c r="P263" i="9"/>
  <c r="L263" i="9"/>
  <c r="O263" i="9"/>
  <c r="K263" i="9"/>
  <c r="N263" i="9"/>
  <c r="M263" i="9"/>
  <c r="P267" i="9"/>
  <c r="L267" i="9"/>
  <c r="O267" i="9"/>
  <c r="K267" i="9"/>
  <c r="N267" i="9"/>
  <c r="M267" i="9"/>
  <c r="P271" i="9"/>
  <c r="L271" i="9"/>
  <c r="O271" i="9"/>
  <c r="K271" i="9"/>
  <c r="N271" i="9"/>
  <c r="M271" i="9"/>
  <c r="P275" i="9"/>
  <c r="L275" i="9"/>
  <c r="O275" i="9"/>
  <c r="K275" i="9"/>
  <c r="N275" i="9"/>
  <c r="M275" i="9"/>
  <c r="P279" i="9"/>
  <c r="L279" i="9"/>
  <c r="O279" i="9"/>
  <c r="K279" i="9"/>
  <c r="N279" i="9"/>
  <c r="M279" i="9"/>
  <c r="P283" i="9"/>
  <c r="L283" i="9"/>
  <c r="O283" i="9"/>
  <c r="K283" i="9"/>
  <c r="N283" i="9"/>
  <c r="M283" i="9"/>
  <c r="P287" i="9"/>
  <c r="L287" i="9"/>
  <c r="O287" i="9"/>
  <c r="K287" i="9"/>
  <c r="N287" i="9"/>
  <c r="M287" i="9"/>
  <c r="P291" i="9"/>
  <c r="L291" i="9"/>
  <c r="O291" i="9"/>
  <c r="K291" i="9"/>
  <c r="N291" i="9"/>
  <c r="M291" i="9"/>
  <c r="P295" i="9"/>
  <c r="L295" i="9"/>
  <c r="O295" i="9"/>
  <c r="K295" i="9"/>
  <c r="N295" i="9"/>
  <c r="M295" i="9"/>
  <c r="P299" i="9"/>
  <c r="L299" i="9"/>
  <c r="O299" i="9"/>
  <c r="K299" i="9"/>
  <c r="N299" i="9"/>
  <c r="M299" i="9"/>
  <c r="P303" i="9"/>
  <c r="L303" i="9"/>
  <c r="O303" i="9"/>
  <c r="K303" i="9"/>
  <c r="N303" i="9"/>
  <c r="M303" i="9"/>
  <c r="P307" i="9"/>
  <c r="L307" i="9"/>
  <c r="O307" i="9"/>
  <c r="K307" i="9"/>
  <c r="N307" i="9"/>
  <c r="M307" i="9"/>
  <c r="P311" i="9"/>
  <c r="L311" i="9"/>
  <c r="O311" i="9"/>
  <c r="K311" i="9"/>
  <c r="N311" i="9"/>
  <c r="M311" i="9"/>
  <c r="P315" i="9"/>
  <c r="L315" i="9"/>
  <c r="O315" i="9"/>
  <c r="K315" i="9"/>
  <c r="N315" i="9"/>
  <c r="M315" i="9"/>
  <c r="P319" i="9"/>
  <c r="L319" i="9"/>
  <c r="O319" i="9"/>
  <c r="K319" i="9"/>
  <c r="N319" i="9"/>
  <c r="M319" i="9"/>
  <c r="P323" i="9"/>
  <c r="L323" i="9"/>
  <c r="O323" i="9"/>
  <c r="K323" i="9"/>
  <c r="N323" i="9"/>
  <c r="M323" i="9"/>
  <c r="P327" i="9"/>
  <c r="L327" i="9"/>
  <c r="O327" i="9"/>
  <c r="K327" i="9"/>
  <c r="N327" i="9"/>
  <c r="M327" i="9"/>
  <c r="P331" i="9"/>
  <c r="L331" i="9"/>
  <c r="O331" i="9"/>
  <c r="K331" i="9"/>
  <c r="N331" i="9"/>
  <c r="M331" i="9"/>
  <c r="P335" i="9"/>
  <c r="L335" i="9"/>
  <c r="O335" i="9"/>
  <c r="K335" i="9"/>
  <c r="N335" i="9"/>
  <c r="M335" i="9"/>
  <c r="P339" i="9"/>
  <c r="L339" i="9"/>
  <c r="O339" i="9"/>
  <c r="K339" i="9"/>
  <c r="N339" i="9"/>
  <c r="M339" i="9"/>
  <c r="P343" i="9"/>
  <c r="L343" i="9"/>
  <c r="O343" i="9"/>
  <c r="K343" i="9"/>
  <c r="N343" i="9"/>
  <c r="M343" i="9"/>
  <c r="P347" i="9"/>
  <c r="L347" i="9"/>
  <c r="O347" i="9"/>
  <c r="K347" i="9"/>
  <c r="N347" i="9"/>
  <c r="M347" i="9"/>
  <c r="P351" i="9"/>
  <c r="L351" i="9"/>
  <c r="O351" i="9"/>
  <c r="K351" i="9"/>
  <c r="N351" i="9"/>
  <c r="M351" i="9"/>
  <c r="P355" i="9"/>
  <c r="L355" i="9"/>
  <c r="O355" i="9"/>
  <c r="K355" i="9"/>
  <c r="N355" i="9"/>
  <c r="M355" i="9"/>
  <c r="P359" i="9"/>
  <c r="L359" i="9"/>
  <c r="O359" i="9"/>
  <c r="K359" i="9"/>
  <c r="N359" i="9"/>
  <c r="M359" i="9"/>
  <c r="P363" i="9"/>
  <c r="L363" i="9"/>
  <c r="O363" i="9"/>
  <c r="K363" i="9"/>
  <c r="N363" i="9"/>
  <c r="M363" i="9"/>
  <c r="P367" i="9"/>
  <c r="L367" i="9"/>
  <c r="O367" i="9"/>
  <c r="K367" i="9"/>
  <c r="N367" i="9"/>
  <c r="M367" i="9"/>
  <c r="P371" i="9"/>
  <c r="L371" i="9"/>
  <c r="O371" i="9"/>
  <c r="K371" i="9"/>
  <c r="N371" i="9"/>
  <c r="M371" i="9"/>
  <c r="N376" i="9"/>
  <c r="M376" i="9"/>
  <c r="P376" i="9"/>
  <c r="L376" i="9"/>
  <c r="O376" i="9"/>
  <c r="K376" i="9"/>
  <c r="N380" i="9"/>
  <c r="M380" i="9"/>
  <c r="P380" i="9"/>
  <c r="L380" i="9"/>
  <c r="O380" i="9"/>
  <c r="K380" i="9"/>
  <c r="N392" i="9"/>
  <c r="M392" i="9"/>
  <c r="P392" i="9"/>
  <c r="L392" i="9"/>
  <c r="O392" i="9"/>
  <c r="K392" i="9"/>
  <c r="N396" i="9"/>
  <c r="M396" i="9"/>
  <c r="P396" i="9"/>
  <c r="L396" i="9"/>
  <c r="O396" i="9"/>
  <c r="K396" i="9"/>
  <c r="N400" i="9"/>
  <c r="M400" i="9"/>
  <c r="P400" i="9"/>
  <c r="L400" i="9"/>
  <c r="O400" i="9"/>
  <c r="K400" i="9"/>
  <c r="N404" i="9"/>
  <c r="M404" i="9"/>
  <c r="P404" i="9"/>
  <c r="L404" i="9"/>
  <c r="O404" i="9"/>
  <c r="K404" i="9"/>
  <c r="N408" i="9"/>
  <c r="M408" i="9"/>
  <c r="P408" i="9"/>
  <c r="L408" i="9"/>
  <c r="O408" i="9"/>
  <c r="K408" i="9"/>
  <c r="N412" i="9"/>
  <c r="T136" i="5" s="1"/>
  <c r="M412" i="9"/>
  <c r="S136" i="5" s="1"/>
  <c r="P412" i="9"/>
  <c r="V136" i="5" s="1"/>
  <c r="L412" i="9"/>
  <c r="R136" i="5" s="1"/>
  <c r="O412" i="9"/>
  <c r="U136" i="5" s="1"/>
  <c r="K412" i="9"/>
  <c r="Q136" i="5" s="1"/>
  <c r="N416" i="9"/>
  <c r="M416" i="9"/>
  <c r="P416" i="9"/>
  <c r="L416" i="9"/>
  <c r="O416" i="9"/>
  <c r="K416" i="9"/>
  <c r="N420" i="9"/>
  <c r="M420" i="9"/>
  <c r="P420" i="9"/>
  <c r="L420" i="9"/>
  <c r="O420" i="9"/>
  <c r="K420" i="9"/>
  <c r="N424" i="9"/>
  <c r="M424" i="9"/>
  <c r="P424" i="9"/>
  <c r="L424" i="9"/>
  <c r="O424" i="9"/>
  <c r="K424" i="9"/>
  <c r="N428" i="9"/>
  <c r="M428" i="9"/>
  <c r="P428" i="9"/>
  <c r="L428" i="9"/>
  <c r="O428" i="9"/>
  <c r="K428" i="9"/>
  <c r="N432" i="9"/>
  <c r="M432" i="9"/>
  <c r="P432" i="9"/>
  <c r="L432" i="9"/>
  <c r="O432" i="9"/>
  <c r="K432" i="9"/>
  <c r="N436" i="9"/>
  <c r="M436" i="9"/>
  <c r="P436" i="9"/>
  <c r="L436" i="9"/>
  <c r="O436" i="9"/>
  <c r="K436" i="9"/>
  <c r="N440" i="9"/>
  <c r="M440" i="9"/>
  <c r="P440" i="9"/>
  <c r="L440" i="9"/>
  <c r="O440" i="9"/>
  <c r="K440" i="9"/>
  <c r="N444" i="9"/>
  <c r="M444" i="9"/>
  <c r="P444" i="9"/>
  <c r="L444" i="9"/>
  <c r="O444" i="9"/>
  <c r="K444" i="9"/>
  <c r="N448" i="9"/>
  <c r="M448" i="9"/>
  <c r="P448" i="9"/>
  <c r="L448" i="9"/>
  <c r="O448" i="9"/>
  <c r="K448" i="9"/>
  <c r="N452" i="9"/>
  <c r="M452" i="9"/>
  <c r="P452" i="9"/>
  <c r="L452" i="9"/>
  <c r="O452" i="9"/>
  <c r="K452" i="9"/>
  <c r="N456" i="9"/>
  <c r="M456" i="9"/>
  <c r="P456" i="9"/>
  <c r="L456" i="9"/>
  <c r="O456" i="9"/>
  <c r="K456" i="9"/>
  <c r="N460" i="9"/>
  <c r="M460" i="9"/>
  <c r="P460" i="9"/>
  <c r="L460" i="9"/>
  <c r="O460" i="9"/>
  <c r="K460" i="9"/>
  <c r="N464" i="9"/>
  <c r="M464" i="9"/>
  <c r="P464" i="9"/>
  <c r="L464" i="9"/>
  <c r="O464" i="9"/>
  <c r="K464" i="9"/>
  <c r="N468" i="9"/>
  <c r="M468" i="9"/>
  <c r="P468" i="9"/>
  <c r="L468" i="9"/>
  <c r="O468" i="9"/>
  <c r="K468" i="9"/>
  <c r="N472" i="9"/>
  <c r="M472" i="9"/>
  <c r="P472" i="9"/>
  <c r="L472" i="9"/>
  <c r="O472" i="9"/>
  <c r="K472" i="9"/>
  <c r="N476" i="9"/>
  <c r="M476" i="9"/>
  <c r="P476" i="9"/>
  <c r="L476" i="9"/>
  <c r="O476" i="9"/>
  <c r="K476" i="9"/>
  <c r="N480" i="9"/>
  <c r="M480" i="9"/>
  <c r="P480" i="9"/>
  <c r="L480" i="9"/>
  <c r="O480" i="9"/>
  <c r="K480" i="9"/>
  <c r="N484" i="9"/>
  <c r="M484" i="9"/>
  <c r="P484" i="9"/>
  <c r="L484" i="9"/>
  <c r="O484" i="9"/>
  <c r="K484" i="9"/>
  <c r="N488" i="9"/>
  <c r="T141" i="5" s="1"/>
  <c r="M488" i="9"/>
  <c r="S141" i="5" s="1"/>
  <c r="P488" i="9"/>
  <c r="V141" i="5" s="1"/>
  <c r="L488" i="9"/>
  <c r="R141" i="5" s="1"/>
  <c r="O488" i="9"/>
  <c r="U141" i="5" s="1"/>
  <c r="K488" i="9"/>
  <c r="Q141" i="5" s="1"/>
  <c r="N492" i="9"/>
  <c r="M492" i="9"/>
  <c r="P492" i="9"/>
  <c r="L492" i="9"/>
  <c r="O492" i="9"/>
  <c r="K492" i="9"/>
  <c r="M496" i="9"/>
  <c r="P496" i="9"/>
  <c r="L496" i="9"/>
  <c r="O496" i="9"/>
  <c r="N496" i="9"/>
  <c r="K496" i="9"/>
  <c r="O500" i="9"/>
  <c r="U31" i="5" s="1"/>
  <c r="K500" i="9"/>
  <c r="Q31" i="5" s="1"/>
  <c r="N500" i="9"/>
  <c r="T31" i="5" s="1"/>
  <c r="M500" i="9"/>
  <c r="S31" i="5" s="1"/>
  <c r="P500" i="9"/>
  <c r="V31" i="5" s="1"/>
  <c r="L500" i="9"/>
  <c r="O504" i="9"/>
  <c r="K504" i="9"/>
  <c r="N504" i="9"/>
  <c r="M504" i="9"/>
  <c r="P504" i="9"/>
  <c r="L504" i="9"/>
  <c r="O508" i="9"/>
  <c r="K508" i="9"/>
  <c r="N508" i="9"/>
  <c r="M508" i="9"/>
  <c r="P508" i="9"/>
  <c r="L508" i="9"/>
  <c r="O516" i="9"/>
  <c r="K516" i="9"/>
  <c r="N516" i="9"/>
  <c r="M516" i="9"/>
  <c r="P516" i="9"/>
  <c r="L516" i="9"/>
  <c r="O520" i="9"/>
  <c r="K520" i="9"/>
  <c r="N520" i="9"/>
  <c r="M520" i="9"/>
  <c r="P520" i="9"/>
  <c r="L520" i="9"/>
  <c r="O524" i="9"/>
  <c r="K524" i="9"/>
  <c r="N524" i="9"/>
  <c r="M524" i="9"/>
  <c r="P524" i="9"/>
  <c r="L524" i="9"/>
  <c r="O528" i="9"/>
  <c r="K528" i="9"/>
  <c r="N528" i="9"/>
  <c r="M528" i="9"/>
  <c r="P528" i="9"/>
  <c r="L528" i="9"/>
  <c r="O532" i="9"/>
  <c r="K532" i="9"/>
  <c r="N532" i="9"/>
  <c r="M532" i="9"/>
  <c r="P532" i="9"/>
  <c r="L532" i="9"/>
  <c r="O536" i="9"/>
  <c r="U67" i="5" s="1"/>
  <c r="K536" i="9"/>
  <c r="N536" i="9"/>
  <c r="T67" i="5" s="1"/>
  <c r="M536" i="9"/>
  <c r="S67" i="5" s="1"/>
  <c r="P536" i="9"/>
  <c r="V67" i="5" s="1"/>
  <c r="L536" i="9"/>
  <c r="O540" i="9"/>
  <c r="K540" i="9"/>
  <c r="N540" i="9"/>
  <c r="M540" i="9"/>
  <c r="P540" i="9"/>
  <c r="L540" i="9"/>
  <c r="O544" i="9"/>
  <c r="K544" i="9"/>
  <c r="N544" i="9"/>
  <c r="M544" i="9"/>
  <c r="P544" i="9"/>
  <c r="L544" i="9"/>
  <c r="O548" i="9"/>
  <c r="K548" i="9"/>
  <c r="N548" i="9"/>
  <c r="M548" i="9"/>
  <c r="P548" i="9"/>
  <c r="L548" i="9"/>
  <c r="O552" i="9"/>
  <c r="K552" i="9"/>
  <c r="N552" i="9"/>
  <c r="M552" i="9"/>
  <c r="P552" i="9"/>
  <c r="L552" i="9"/>
  <c r="O556" i="9"/>
  <c r="K556" i="9"/>
  <c r="N556" i="9"/>
  <c r="M556" i="9"/>
  <c r="P556" i="9"/>
  <c r="L556" i="9"/>
  <c r="O560" i="9"/>
  <c r="U38" i="5" s="1"/>
  <c r="K560" i="9"/>
  <c r="Q38" i="5" s="1"/>
  <c r="N560" i="9"/>
  <c r="T38" i="5" s="1"/>
  <c r="M560" i="9"/>
  <c r="S38" i="5" s="1"/>
  <c r="P560" i="9"/>
  <c r="V38" i="5" s="1"/>
  <c r="L560" i="9"/>
  <c r="R38" i="5" s="1"/>
  <c r="O564" i="9"/>
  <c r="K564" i="9"/>
  <c r="N564" i="9"/>
  <c r="M564" i="9"/>
  <c r="P564" i="9"/>
  <c r="L564" i="9"/>
  <c r="O568" i="9"/>
  <c r="U131" i="5" s="1"/>
  <c r="L131" i="5" s="1"/>
  <c r="K568" i="9"/>
  <c r="Q131" i="5" s="1"/>
  <c r="N568" i="9"/>
  <c r="T131" i="5" s="1"/>
  <c r="K131" i="5" s="1"/>
  <c r="M568" i="9"/>
  <c r="S131" i="5" s="1"/>
  <c r="J131" i="5" s="1"/>
  <c r="P568" i="9"/>
  <c r="V131" i="5" s="1"/>
  <c r="M131" i="5" s="1"/>
  <c r="L568" i="9"/>
  <c r="R131" i="5" s="1"/>
  <c r="I131" i="5" s="1"/>
  <c r="O572" i="9"/>
  <c r="K572" i="9"/>
  <c r="N572" i="9"/>
  <c r="M572" i="9"/>
  <c r="P572" i="9"/>
  <c r="L572" i="9"/>
  <c r="O576" i="9"/>
  <c r="K576" i="9"/>
  <c r="N576" i="9"/>
  <c r="M576" i="9"/>
  <c r="P576" i="9"/>
  <c r="L576" i="9"/>
  <c r="O580" i="9"/>
  <c r="K580" i="9"/>
  <c r="N580" i="9"/>
  <c r="M580" i="9"/>
  <c r="P580" i="9"/>
  <c r="L580" i="9"/>
  <c r="O584" i="9"/>
  <c r="K584" i="9"/>
  <c r="N584" i="9"/>
  <c r="M584" i="9"/>
  <c r="P584" i="9"/>
  <c r="L584" i="9"/>
  <c r="O588" i="9"/>
  <c r="K588" i="9"/>
  <c r="N588" i="9"/>
  <c r="M588" i="9"/>
  <c r="P588" i="9"/>
  <c r="L588" i="9"/>
  <c r="O592" i="9"/>
  <c r="K592" i="9"/>
  <c r="N592" i="9"/>
  <c r="M592" i="9"/>
  <c r="P592" i="9"/>
  <c r="L592" i="9"/>
  <c r="O596" i="9"/>
  <c r="K596" i="9"/>
  <c r="N596" i="9"/>
  <c r="M596" i="9"/>
  <c r="P596" i="9"/>
  <c r="L596" i="9"/>
  <c r="O600" i="9"/>
  <c r="K600" i="9"/>
  <c r="N600" i="9"/>
  <c r="M600" i="9"/>
  <c r="P600" i="9"/>
  <c r="L600" i="9"/>
  <c r="O604" i="9"/>
  <c r="K604" i="9"/>
  <c r="N604" i="9"/>
  <c r="M604" i="9"/>
  <c r="P604" i="9"/>
  <c r="L604" i="9"/>
  <c r="O608" i="9"/>
  <c r="K608" i="9"/>
  <c r="N608" i="9"/>
  <c r="M608" i="9"/>
  <c r="P608" i="9"/>
  <c r="L608" i="9"/>
  <c r="O612" i="9"/>
  <c r="K612" i="9"/>
  <c r="N612" i="9"/>
  <c r="M612" i="9"/>
  <c r="P612" i="9"/>
  <c r="L612" i="9"/>
  <c r="O616" i="9"/>
  <c r="K616" i="9"/>
  <c r="N616" i="9"/>
  <c r="M616" i="9"/>
  <c r="P616" i="9"/>
  <c r="L616" i="9"/>
  <c r="O620" i="9"/>
  <c r="K620" i="9"/>
  <c r="N620" i="9"/>
  <c r="M620" i="9"/>
  <c r="P620" i="9"/>
  <c r="L620" i="9"/>
  <c r="O624" i="9"/>
  <c r="K624" i="9"/>
  <c r="N624" i="9"/>
  <c r="M624" i="9"/>
  <c r="P624" i="9"/>
  <c r="L624" i="9"/>
  <c r="O628" i="9"/>
  <c r="K628" i="9"/>
  <c r="N628" i="9"/>
  <c r="M628" i="9"/>
  <c r="P628" i="9"/>
  <c r="L628" i="9"/>
  <c r="O632" i="9"/>
  <c r="K632" i="9"/>
  <c r="N632" i="9"/>
  <c r="M632" i="9"/>
  <c r="P632" i="9"/>
  <c r="L632" i="9"/>
  <c r="O636" i="9"/>
  <c r="K636" i="9"/>
  <c r="N636" i="9"/>
  <c r="M636" i="9"/>
  <c r="P636" i="9"/>
  <c r="L636" i="9"/>
  <c r="O640" i="9"/>
  <c r="U90" i="5" s="1"/>
  <c r="K640" i="9"/>
  <c r="Q90" i="5" s="1"/>
  <c r="N640" i="9"/>
  <c r="T90" i="5" s="1"/>
  <c r="M640" i="9"/>
  <c r="S90" i="5" s="1"/>
  <c r="P640" i="9"/>
  <c r="V90" i="5" s="1"/>
  <c r="L640" i="9"/>
  <c r="R90" i="5" s="1"/>
  <c r="O644" i="9"/>
  <c r="K644" i="9"/>
  <c r="N644" i="9"/>
  <c r="M644" i="9"/>
  <c r="P644" i="9"/>
  <c r="L644" i="9"/>
  <c r="O648" i="9"/>
  <c r="K648" i="9"/>
  <c r="N648" i="9"/>
  <c r="M648" i="9"/>
  <c r="P648" i="9"/>
  <c r="L648" i="9"/>
  <c r="O652" i="9"/>
  <c r="K652" i="9"/>
  <c r="N652" i="9"/>
  <c r="M652" i="9"/>
  <c r="P652" i="9"/>
  <c r="L652" i="9"/>
  <c r="O656" i="9"/>
  <c r="K656" i="9"/>
  <c r="N656" i="9"/>
  <c r="M656" i="9"/>
  <c r="P656" i="9"/>
  <c r="L656" i="9"/>
  <c r="O660" i="9"/>
  <c r="K660" i="9"/>
  <c r="N660" i="9"/>
  <c r="M660" i="9"/>
  <c r="P660" i="9"/>
  <c r="L660" i="9"/>
  <c r="O664" i="9"/>
  <c r="K664" i="9"/>
  <c r="N664" i="9"/>
  <c r="M664" i="9"/>
  <c r="P664" i="9"/>
  <c r="L664" i="9"/>
  <c r="O668" i="9"/>
  <c r="K668" i="9"/>
  <c r="N668" i="9"/>
  <c r="M668" i="9"/>
  <c r="P668" i="9"/>
  <c r="L668" i="9"/>
  <c r="O672" i="9"/>
  <c r="K672" i="9"/>
  <c r="N672" i="9"/>
  <c r="M672" i="9"/>
  <c r="P672" i="9"/>
  <c r="L672" i="9"/>
  <c r="O677" i="9"/>
  <c r="K677" i="9"/>
  <c r="N677" i="9"/>
  <c r="M677" i="9"/>
  <c r="P677" i="9"/>
  <c r="L677" i="9"/>
  <c r="O681" i="9"/>
  <c r="K681" i="9"/>
  <c r="N681" i="9"/>
  <c r="M681" i="9"/>
  <c r="P681" i="9"/>
  <c r="L681" i="9"/>
  <c r="O685" i="9"/>
  <c r="K685" i="9"/>
  <c r="N685" i="9"/>
  <c r="M685" i="9"/>
  <c r="P685" i="9"/>
  <c r="L685" i="9"/>
  <c r="O693" i="9"/>
  <c r="K693" i="9"/>
  <c r="N693" i="9"/>
  <c r="M693" i="9"/>
  <c r="P693" i="9"/>
  <c r="L693" i="9"/>
  <c r="O697" i="9"/>
  <c r="K697" i="9"/>
  <c r="N697" i="9"/>
  <c r="M697" i="9"/>
  <c r="P697" i="9"/>
  <c r="L697" i="9"/>
  <c r="O728" i="9"/>
  <c r="U148" i="5" s="1"/>
  <c r="K728" i="9"/>
  <c r="Q148" i="5" s="1"/>
  <c r="N728" i="9"/>
  <c r="T148" i="5" s="1"/>
  <c r="M728" i="9"/>
  <c r="S148" i="5" s="1"/>
  <c r="P728" i="9"/>
  <c r="V148" i="5" s="1"/>
  <c r="L728" i="9"/>
  <c r="R148" i="5" s="1"/>
  <c r="O732" i="9"/>
  <c r="K732" i="9"/>
  <c r="N732" i="9"/>
  <c r="M732" i="9"/>
  <c r="P732" i="9"/>
  <c r="L732" i="9"/>
  <c r="O736" i="9"/>
  <c r="K736" i="9"/>
  <c r="N736" i="9"/>
  <c r="M736" i="9"/>
  <c r="P736" i="9"/>
  <c r="L736" i="9"/>
  <c r="O740" i="9"/>
  <c r="K740" i="9"/>
  <c r="N740" i="9"/>
  <c r="M740" i="9"/>
  <c r="P740" i="9"/>
  <c r="L740" i="9"/>
  <c r="O744" i="9"/>
  <c r="K744" i="9"/>
  <c r="N744" i="9"/>
  <c r="M744" i="9"/>
  <c r="P744" i="9"/>
  <c r="L744" i="9"/>
  <c r="O748" i="9"/>
  <c r="K748" i="9"/>
  <c r="N748" i="9"/>
  <c r="M748" i="9"/>
  <c r="P748" i="9"/>
  <c r="L748" i="9"/>
  <c r="O752" i="9"/>
  <c r="K752" i="9"/>
  <c r="N752" i="9"/>
  <c r="M752" i="9"/>
  <c r="P752" i="9"/>
  <c r="L752" i="9"/>
  <c r="O756" i="9"/>
  <c r="K756" i="9"/>
  <c r="N756" i="9"/>
  <c r="M756" i="9"/>
  <c r="P756" i="9"/>
  <c r="L756" i="9"/>
  <c r="O760" i="9"/>
  <c r="K760" i="9"/>
  <c r="N760" i="9"/>
  <c r="M760" i="9"/>
  <c r="P760" i="9"/>
  <c r="L760" i="9"/>
  <c r="O764" i="9"/>
  <c r="K764" i="9"/>
  <c r="N764" i="9"/>
  <c r="M764" i="9"/>
  <c r="P764" i="9"/>
  <c r="L764" i="9"/>
  <c r="O768" i="9"/>
  <c r="K768" i="9"/>
  <c r="N768" i="9"/>
  <c r="M768" i="9"/>
  <c r="P768" i="9"/>
  <c r="L768" i="9"/>
  <c r="O772" i="9"/>
  <c r="K772" i="9"/>
  <c r="N772" i="9"/>
  <c r="M772" i="9"/>
  <c r="P772" i="9"/>
  <c r="L772" i="9"/>
  <c r="O776" i="9"/>
  <c r="K776" i="9"/>
  <c r="N776" i="9"/>
  <c r="M776" i="9"/>
  <c r="P776" i="9"/>
  <c r="L776" i="9"/>
  <c r="O780" i="9"/>
  <c r="U85" i="5" s="1"/>
  <c r="K780" i="9"/>
  <c r="Q85" i="5" s="1"/>
  <c r="N780" i="9"/>
  <c r="T85" i="5" s="1"/>
  <c r="M780" i="9"/>
  <c r="S85" i="5" s="1"/>
  <c r="P780" i="9"/>
  <c r="V85" i="5" s="1"/>
  <c r="L780" i="9"/>
  <c r="R85" i="5" s="1"/>
  <c r="O784" i="9"/>
  <c r="K784" i="9"/>
  <c r="N784" i="9"/>
  <c r="M784" i="9"/>
  <c r="P784" i="9"/>
  <c r="L784" i="9"/>
  <c r="O788" i="9"/>
  <c r="K788" i="9"/>
  <c r="N788" i="9"/>
  <c r="M788" i="9"/>
  <c r="P788" i="9"/>
  <c r="L788" i="9"/>
  <c r="O792" i="9"/>
  <c r="K792" i="9"/>
  <c r="N792" i="9"/>
  <c r="M792" i="9"/>
  <c r="P792" i="9"/>
  <c r="L792" i="9"/>
  <c r="O796" i="9"/>
  <c r="K796" i="9"/>
  <c r="N796" i="9"/>
  <c r="M796" i="9"/>
  <c r="P796" i="9"/>
  <c r="L796" i="9"/>
  <c r="O800" i="9"/>
  <c r="U51" i="5" s="1"/>
  <c r="K800" i="9"/>
  <c r="Q51" i="5" s="1"/>
  <c r="N800" i="9"/>
  <c r="T51" i="5" s="1"/>
  <c r="M800" i="9"/>
  <c r="S51" i="5" s="1"/>
  <c r="P800" i="9"/>
  <c r="V51" i="5" s="1"/>
  <c r="L800" i="9"/>
  <c r="R51" i="5" s="1"/>
  <c r="O804" i="9"/>
  <c r="U167" i="5" s="1"/>
  <c r="K804" i="9"/>
  <c r="Q167" i="5" s="1"/>
  <c r="N804" i="9"/>
  <c r="T167" i="5" s="1"/>
  <c r="M804" i="9"/>
  <c r="S167" i="5" s="1"/>
  <c r="P804" i="9"/>
  <c r="V167" i="5" s="1"/>
  <c r="L804" i="9"/>
  <c r="R167" i="5" s="1"/>
  <c r="O808" i="9"/>
  <c r="K808" i="9"/>
  <c r="N808" i="9"/>
  <c r="M808" i="9"/>
  <c r="P808" i="9"/>
  <c r="L808" i="9"/>
  <c r="O812" i="9"/>
  <c r="K812" i="9"/>
  <c r="N812" i="9"/>
  <c r="M812" i="9"/>
  <c r="P812" i="9"/>
  <c r="L812" i="9"/>
  <c r="O816" i="9"/>
  <c r="U48" i="5" s="1"/>
  <c r="K816" i="9"/>
  <c r="Q48" i="5" s="1"/>
  <c r="N816" i="9"/>
  <c r="T48" i="5" s="1"/>
  <c r="M816" i="9"/>
  <c r="S48" i="5" s="1"/>
  <c r="P816" i="9"/>
  <c r="V48" i="5" s="1"/>
  <c r="L816" i="9"/>
  <c r="R48" i="5" s="1"/>
  <c r="O820" i="9"/>
  <c r="K820" i="9"/>
  <c r="N820" i="9"/>
  <c r="M820" i="9"/>
  <c r="P820" i="9"/>
  <c r="L820" i="9"/>
  <c r="O824" i="9"/>
  <c r="K824" i="9"/>
  <c r="N824" i="9"/>
  <c r="M824" i="9"/>
  <c r="P824" i="9"/>
  <c r="L824" i="9"/>
  <c r="O828" i="9"/>
  <c r="K828" i="9"/>
  <c r="N828" i="9"/>
  <c r="M828" i="9"/>
  <c r="P828" i="9"/>
  <c r="L828" i="9"/>
  <c r="O832" i="9"/>
  <c r="K832" i="9"/>
  <c r="N832" i="9"/>
  <c r="M832" i="9"/>
  <c r="P832" i="9"/>
  <c r="L832" i="9"/>
  <c r="O836" i="9"/>
  <c r="K836" i="9"/>
  <c r="N836" i="9"/>
  <c r="M836" i="9"/>
  <c r="P836" i="9"/>
  <c r="L836" i="9"/>
  <c r="O840" i="9"/>
  <c r="U101" i="5" s="1"/>
  <c r="K840" i="9"/>
  <c r="Q101" i="5" s="1"/>
  <c r="N840" i="9"/>
  <c r="T101" i="5" s="1"/>
  <c r="M840" i="9"/>
  <c r="S101" i="5" s="1"/>
  <c r="P840" i="9"/>
  <c r="V101" i="5" s="1"/>
  <c r="L840" i="9"/>
  <c r="R101" i="5" s="1"/>
  <c r="M701" i="9"/>
  <c r="P701" i="9"/>
  <c r="L701" i="9"/>
  <c r="O701" i="9"/>
  <c r="K701" i="9"/>
  <c r="N701" i="9"/>
  <c r="M705" i="9"/>
  <c r="P705" i="9"/>
  <c r="L705" i="9"/>
  <c r="O705" i="9"/>
  <c r="K705" i="9"/>
  <c r="N705" i="9"/>
  <c r="M709" i="9"/>
  <c r="P709" i="9"/>
  <c r="L709" i="9"/>
  <c r="O709" i="9"/>
  <c r="K709" i="9"/>
  <c r="N709" i="9"/>
  <c r="M713" i="9"/>
  <c r="P713" i="9"/>
  <c r="L713" i="9"/>
  <c r="O713" i="9"/>
  <c r="K713" i="9"/>
  <c r="N713" i="9"/>
  <c r="M717" i="9"/>
  <c r="S86" i="5" s="1"/>
  <c r="P717" i="9"/>
  <c r="V86" i="5" s="1"/>
  <c r="L717" i="9"/>
  <c r="R86" i="5" s="1"/>
  <c r="O717" i="9"/>
  <c r="U86" i="5" s="1"/>
  <c r="K717" i="9"/>
  <c r="Q86" i="5" s="1"/>
  <c r="N717" i="9"/>
  <c r="T86" i="5" s="1"/>
  <c r="M721" i="9"/>
  <c r="P721" i="9"/>
  <c r="L721" i="9"/>
  <c r="O721" i="9"/>
  <c r="K721" i="9"/>
  <c r="N721" i="9"/>
  <c r="F115" i="1"/>
  <c r="F114" i="1"/>
  <c r="F113" i="1"/>
  <c r="F112" i="1"/>
  <c r="F111" i="1"/>
  <c r="F110" i="1"/>
  <c r="F109" i="1"/>
  <c r="O201" i="5"/>
  <c r="N201" i="5"/>
  <c r="M201" i="5"/>
  <c r="L201" i="5"/>
  <c r="K201" i="5"/>
  <c r="J201" i="5"/>
  <c r="I201" i="5"/>
  <c r="E200" i="5"/>
  <c r="P200" i="5" s="1"/>
  <c r="X32" i="5" l="1"/>
  <c r="O32" i="5" s="1"/>
  <c r="W32" i="5"/>
  <c r="N32" i="5" s="1"/>
  <c r="Q67" i="5"/>
  <c r="R31" i="5"/>
  <c r="Q118" i="5"/>
  <c r="T64" i="5"/>
  <c r="V64" i="5"/>
  <c r="S78" i="5"/>
  <c r="J78" i="5" s="1"/>
  <c r="R78" i="5"/>
  <c r="I78" i="5" s="1"/>
  <c r="Q72" i="5"/>
  <c r="W72" i="5" s="1"/>
  <c r="N72" i="5" s="1"/>
  <c r="S72" i="5"/>
  <c r="J72" i="5" s="1"/>
  <c r="R72" i="5"/>
  <c r="I72" i="5" s="1"/>
  <c r="R98" i="5"/>
  <c r="T110" i="5"/>
  <c r="Q66" i="5"/>
  <c r="V70" i="5"/>
  <c r="M70" i="5" s="1"/>
  <c r="T34" i="5"/>
  <c r="K34" i="5" s="1"/>
  <c r="V33" i="5"/>
  <c r="U33" i="5"/>
  <c r="Q70" i="5"/>
  <c r="W70" i="5" s="1"/>
  <c r="N70" i="5" s="1"/>
  <c r="X10" i="5"/>
  <c r="O10" i="5" s="1"/>
  <c r="W10" i="5"/>
  <c r="N10" i="5" s="1"/>
  <c r="R35" i="5"/>
  <c r="R9" i="5"/>
  <c r="I9" i="5" s="1"/>
  <c r="X8" i="5"/>
  <c r="W8" i="5"/>
  <c r="X6" i="5"/>
  <c r="O6" i="5" s="1"/>
  <c r="W6" i="5"/>
  <c r="N6" i="5" s="1"/>
  <c r="U60" i="5"/>
  <c r="L60" i="5" s="1"/>
  <c r="U70" i="5"/>
  <c r="L70" i="5" s="1"/>
  <c r="V35" i="5"/>
  <c r="V9" i="5"/>
  <c r="M9" i="5" s="1"/>
  <c r="X7" i="5"/>
  <c r="W7" i="5"/>
  <c r="R60" i="5"/>
  <c r="I60" i="5" s="1"/>
  <c r="S70" i="5"/>
  <c r="J70" i="5" s="1"/>
  <c r="R70" i="5"/>
  <c r="I70" i="5" s="1"/>
  <c r="X9" i="5"/>
  <c r="O9" i="5" s="1"/>
  <c r="W9" i="5"/>
  <c r="N9" i="5" s="1"/>
  <c r="S35" i="5"/>
  <c r="S9" i="5"/>
  <c r="J9" i="5" s="1"/>
  <c r="S34" i="5"/>
  <c r="J34" i="5" s="1"/>
  <c r="T60" i="5"/>
  <c r="K60" i="5" s="1"/>
  <c r="V60" i="5"/>
  <c r="M60" i="5" s="1"/>
  <c r="T70" i="5"/>
  <c r="K70" i="5" s="1"/>
  <c r="U35" i="5"/>
  <c r="U9" i="5"/>
  <c r="L9" i="5" s="1"/>
  <c r="T35" i="5"/>
  <c r="T9" i="5"/>
  <c r="K9" i="5" s="1"/>
  <c r="Q60" i="5"/>
  <c r="W60" i="5" s="1"/>
  <c r="N60" i="5" s="1"/>
  <c r="S60" i="5"/>
  <c r="J60" i="5" s="1"/>
  <c r="X70" i="5"/>
  <c r="O70" i="5" s="1"/>
  <c r="R34" i="5"/>
  <c r="I34" i="5" s="1"/>
  <c r="Q69" i="5"/>
  <c r="X69" i="5" s="1"/>
  <c r="Q71" i="5"/>
  <c r="Q34" i="5"/>
  <c r="W34" i="5" s="1"/>
  <c r="N34" i="5" s="1"/>
  <c r="S33" i="5"/>
  <c r="T68" i="5"/>
  <c r="K68" i="5" s="1"/>
  <c r="V68" i="5"/>
  <c r="M68" i="5" s="1"/>
  <c r="U69" i="5"/>
  <c r="U71" i="5"/>
  <c r="L71" i="5" s="1"/>
  <c r="V34" i="5"/>
  <c r="M34" i="5" s="1"/>
  <c r="U34" i="5"/>
  <c r="L34" i="5" s="1"/>
  <c r="Q68" i="5"/>
  <c r="W68" i="5" s="1"/>
  <c r="N68" i="5" s="1"/>
  <c r="S68" i="5"/>
  <c r="J68" i="5" s="1"/>
  <c r="S69" i="5"/>
  <c r="S71" i="5"/>
  <c r="J71" i="5" s="1"/>
  <c r="R69" i="5"/>
  <c r="R71" i="5"/>
  <c r="I71" i="5" s="1"/>
  <c r="U68" i="5"/>
  <c r="L68" i="5" s="1"/>
  <c r="T69" i="5"/>
  <c r="T71" i="5"/>
  <c r="K71" i="5" s="1"/>
  <c r="V69" i="5"/>
  <c r="V71" i="5"/>
  <c r="M71" i="5" s="1"/>
  <c r="R68" i="5"/>
  <c r="I68" i="5" s="1"/>
  <c r="X34" i="5"/>
  <c r="O34" i="5" s="1"/>
  <c r="T33" i="5"/>
  <c r="R33" i="5"/>
  <c r="Q33" i="5"/>
  <c r="W33" i="5" s="1"/>
  <c r="U39" i="5"/>
  <c r="U41" i="5"/>
  <c r="L41" i="5" s="1"/>
  <c r="T39" i="5"/>
  <c r="T41" i="5"/>
  <c r="K41" i="5" s="1"/>
  <c r="R67" i="5"/>
  <c r="R39" i="5"/>
  <c r="R41" i="5"/>
  <c r="I41" i="5" s="1"/>
  <c r="T23" i="5"/>
  <c r="V23" i="5"/>
  <c r="V39" i="5"/>
  <c r="V41" i="5"/>
  <c r="M41" i="5" s="1"/>
  <c r="Q39" i="5"/>
  <c r="W39" i="5" s="1"/>
  <c r="Q41" i="5"/>
  <c r="S39" i="5"/>
  <c r="S41" i="5"/>
  <c r="J41" i="5" s="1"/>
  <c r="S118" i="5"/>
  <c r="U110" i="5"/>
  <c r="U118" i="5"/>
  <c r="T13" i="5"/>
  <c r="K13" i="5" s="1"/>
  <c r="U13" i="5"/>
  <c r="L13" i="5" s="1"/>
  <c r="V13" i="5"/>
  <c r="M13" i="5" s="1"/>
  <c r="R28" i="5"/>
  <c r="I28" i="5" s="1"/>
  <c r="R30" i="5"/>
  <c r="I30" i="5" s="1"/>
  <c r="S28" i="5"/>
  <c r="J28" i="5" s="1"/>
  <c r="S30" i="5"/>
  <c r="J30" i="5" s="1"/>
  <c r="Q28" i="5"/>
  <c r="X28" i="5" s="1"/>
  <c r="O28" i="5" s="1"/>
  <c r="Q30" i="5"/>
  <c r="V28" i="5"/>
  <c r="M28" i="5" s="1"/>
  <c r="V30" i="5"/>
  <c r="M30" i="5" s="1"/>
  <c r="T28" i="5"/>
  <c r="K28" i="5" s="1"/>
  <c r="T30" i="5"/>
  <c r="K30" i="5" s="1"/>
  <c r="U28" i="5"/>
  <c r="L28" i="5" s="1"/>
  <c r="U30" i="5"/>
  <c r="L30" i="5" s="1"/>
  <c r="T25" i="5"/>
  <c r="K25" i="5" s="1"/>
  <c r="T24" i="5"/>
  <c r="K24" i="5" s="1"/>
  <c r="U25" i="5"/>
  <c r="L25" i="5" s="1"/>
  <c r="U24" i="5"/>
  <c r="L24" i="5" s="1"/>
  <c r="V25" i="5"/>
  <c r="M25" i="5" s="1"/>
  <c r="V24" i="5"/>
  <c r="M24" i="5" s="1"/>
  <c r="Q25" i="5"/>
  <c r="X25" i="5" s="1"/>
  <c r="O25" i="5" s="1"/>
  <c r="Q24" i="5"/>
  <c r="R25" i="5"/>
  <c r="I25" i="5" s="1"/>
  <c r="R24" i="5"/>
  <c r="I24" i="5" s="1"/>
  <c r="S25" i="5"/>
  <c r="J25" i="5" s="1"/>
  <c r="S24" i="5"/>
  <c r="J24" i="5" s="1"/>
  <c r="X16" i="5"/>
  <c r="O16" i="5" s="1"/>
  <c r="W16" i="5"/>
  <c r="N16" i="5" s="1"/>
  <c r="T20" i="5"/>
  <c r="K20" i="5" s="1"/>
  <c r="T19" i="5"/>
  <c r="K19" i="5" s="1"/>
  <c r="U20" i="5"/>
  <c r="L20" i="5" s="1"/>
  <c r="U19" i="5"/>
  <c r="L19" i="5" s="1"/>
  <c r="V20" i="5"/>
  <c r="M20" i="5" s="1"/>
  <c r="V19" i="5"/>
  <c r="M19" i="5" s="1"/>
  <c r="Q20" i="5"/>
  <c r="X20" i="5" s="1"/>
  <c r="O20" i="5" s="1"/>
  <c r="Q19" i="5"/>
  <c r="R20" i="5"/>
  <c r="I20" i="5" s="1"/>
  <c r="R19" i="5"/>
  <c r="I19" i="5" s="1"/>
  <c r="S20" i="5"/>
  <c r="J20" i="5" s="1"/>
  <c r="S19" i="5"/>
  <c r="J19" i="5" s="1"/>
  <c r="X66" i="5"/>
  <c r="O66" i="5" s="1"/>
  <c r="W66" i="5"/>
  <c r="N66" i="5" s="1"/>
  <c r="U18" i="5"/>
  <c r="R36" i="5"/>
  <c r="R37" i="5"/>
  <c r="I37" i="5" s="1"/>
  <c r="S36" i="5"/>
  <c r="S37" i="5"/>
  <c r="J37" i="5" s="1"/>
  <c r="Q36" i="5"/>
  <c r="X36" i="5" s="1"/>
  <c r="Q37" i="5"/>
  <c r="V36" i="5"/>
  <c r="V37" i="5"/>
  <c r="M37" i="5" s="1"/>
  <c r="T36" i="5"/>
  <c r="T37" i="5"/>
  <c r="K37" i="5" s="1"/>
  <c r="U36" i="5"/>
  <c r="U37" i="5"/>
  <c r="L37" i="5" s="1"/>
  <c r="X14" i="5"/>
  <c r="O14" i="5" s="1"/>
  <c r="W14" i="5"/>
  <c r="N14" i="5" s="1"/>
  <c r="S18" i="5"/>
  <c r="Q18" i="5"/>
  <c r="X18" i="5" s="1"/>
  <c r="X78" i="5"/>
  <c r="O78" i="5" s="1"/>
  <c r="W78" i="5"/>
  <c r="N78" i="5" s="1"/>
  <c r="Q13" i="5"/>
  <c r="X13" i="5" s="1"/>
  <c r="O13" i="5" s="1"/>
  <c r="R13" i="5"/>
  <c r="I13" i="5" s="1"/>
  <c r="S13" i="5"/>
  <c r="J13" i="5" s="1"/>
  <c r="S76" i="5"/>
  <c r="S77" i="5"/>
  <c r="J77" i="5" s="1"/>
  <c r="Q76" i="5"/>
  <c r="X76" i="5" s="1"/>
  <c r="Q77" i="5"/>
  <c r="R76" i="5"/>
  <c r="R77" i="5"/>
  <c r="I77" i="5" s="1"/>
  <c r="T76" i="5"/>
  <c r="T77" i="5"/>
  <c r="K77" i="5" s="1"/>
  <c r="U76" i="5"/>
  <c r="U77" i="5"/>
  <c r="L77" i="5" s="1"/>
  <c r="V76" i="5"/>
  <c r="V77" i="5"/>
  <c r="M77" i="5" s="1"/>
  <c r="S15" i="5"/>
  <c r="R18" i="5"/>
  <c r="U15" i="5"/>
  <c r="Q11" i="5"/>
  <c r="X11" i="5" s="1"/>
  <c r="S11" i="5"/>
  <c r="U11" i="5"/>
  <c r="T11" i="5"/>
  <c r="T15" i="5"/>
  <c r="V15" i="5"/>
  <c r="R11" i="5"/>
  <c r="V11" i="5"/>
  <c r="U63" i="5"/>
  <c r="Q154" i="5"/>
  <c r="W154" i="5" s="1"/>
  <c r="U62" i="5"/>
  <c r="S62" i="5"/>
  <c r="Q22" i="5"/>
  <c r="X22" i="5" s="1"/>
  <c r="U117" i="5"/>
  <c r="R63" i="5"/>
  <c r="V62" i="5"/>
  <c r="T62" i="5"/>
  <c r="T63" i="5"/>
  <c r="V63" i="5"/>
  <c r="Q62" i="5"/>
  <c r="X62" i="5" s="1"/>
  <c r="Q63" i="5"/>
  <c r="S63" i="5"/>
  <c r="U154" i="5"/>
  <c r="S154" i="5"/>
  <c r="Q27" i="5"/>
  <c r="W27" i="5" s="1"/>
  <c r="S5" i="5"/>
  <c r="R5" i="5"/>
  <c r="R117" i="5"/>
  <c r="R15" i="5"/>
  <c r="Q23" i="5"/>
  <c r="W23" i="5" s="1"/>
  <c r="S23" i="5"/>
  <c r="R154" i="5"/>
  <c r="R22" i="5"/>
  <c r="R27" i="5"/>
  <c r="T5" i="5"/>
  <c r="V5" i="5"/>
  <c r="Q117" i="5"/>
  <c r="W117" i="5" s="1"/>
  <c r="V117" i="5"/>
  <c r="S110" i="5"/>
  <c r="Q35" i="5"/>
  <c r="X35" i="5" s="1"/>
  <c r="T154" i="5"/>
  <c r="V154" i="5"/>
  <c r="S22" i="5"/>
  <c r="V22" i="5"/>
  <c r="S27" i="5"/>
  <c r="V27" i="5"/>
  <c r="Q5" i="5"/>
  <c r="X5" i="5" s="1"/>
  <c r="S117" i="5"/>
  <c r="R110" i="5"/>
  <c r="T18" i="5"/>
  <c r="Q15" i="5"/>
  <c r="X15" i="5" s="1"/>
  <c r="R23" i="5"/>
  <c r="R62" i="5"/>
  <c r="U22" i="5"/>
  <c r="T22" i="5"/>
  <c r="U27" i="5"/>
  <c r="T27" i="5"/>
  <c r="U5" i="5"/>
  <c r="T117" i="5"/>
  <c r="R73" i="5"/>
  <c r="Q73" i="5"/>
  <c r="W73" i="5" s="1"/>
  <c r="V73" i="5"/>
  <c r="U73" i="5"/>
  <c r="S73" i="5"/>
  <c r="V26" i="5"/>
  <c r="T73" i="5"/>
  <c r="T26" i="5"/>
  <c r="R26" i="5"/>
  <c r="K234" i="5"/>
  <c r="L234" i="5"/>
  <c r="M234" i="5"/>
  <c r="J234" i="5"/>
  <c r="N234" i="5"/>
  <c r="O234" i="5"/>
  <c r="I234" i="5"/>
  <c r="S26" i="5"/>
  <c r="V110" i="5"/>
  <c r="V18" i="5"/>
  <c r="Q26" i="5"/>
  <c r="W26" i="5" s="1"/>
  <c r="Q110" i="5"/>
  <c r="W110" i="5" s="1"/>
  <c r="U23" i="5"/>
  <c r="U26" i="5"/>
  <c r="W155" i="5"/>
  <c r="N155" i="5" s="1"/>
  <c r="X155" i="5"/>
  <c r="O155" i="5" s="1"/>
  <c r="X133" i="5"/>
  <c r="O133" i="5" s="1"/>
  <c r="W133" i="5"/>
  <c r="N133" i="5" s="1"/>
  <c r="X134" i="5"/>
  <c r="O134" i="5" s="1"/>
  <c r="W134" i="5"/>
  <c r="N134" i="5" s="1"/>
  <c r="V21" i="5"/>
  <c r="W131" i="5"/>
  <c r="N131" i="5" s="1"/>
  <c r="X131" i="5"/>
  <c r="O131" i="5" s="1"/>
  <c r="R111" i="5"/>
  <c r="R21" i="5"/>
  <c r="S21" i="5"/>
  <c r="S65" i="5"/>
  <c r="R65" i="5"/>
  <c r="T21" i="5"/>
  <c r="T65" i="5"/>
  <c r="V65" i="5"/>
  <c r="Q21" i="5"/>
  <c r="X21" i="5" s="1"/>
  <c r="Q65" i="5"/>
  <c r="W65" i="5" s="1"/>
  <c r="U21" i="5"/>
  <c r="U65" i="5"/>
  <c r="T165" i="5"/>
  <c r="T83" i="5"/>
  <c r="R177" i="5"/>
  <c r="R173" i="5"/>
  <c r="R178" i="5"/>
  <c r="R81" i="5"/>
  <c r="R104" i="5"/>
  <c r="R47" i="5"/>
  <c r="Q178" i="5"/>
  <c r="Q177" i="5"/>
  <c r="Q173" i="5"/>
  <c r="Q81" i="5"/>
  <c r="Q104" i="5"/>
  <c r="Q47" i="5"/>
  <c r="W141" i="5"/>
  <c r="X141" i="5"/>
  <c r="Q165" i="5"/>
  <c r="Q83" i="5"/>
  <c r="S165" i="5"/>
  <c r="S83" i="5"/>
  <c r="U165" i="5"/>
  <c r="U83" i="5"/>
  <c r="W167" i="5"/>
  <c r="X167" i="5"/>
  <c r="S151" i="5"/>
  <c r="S50" i="5"/>
  <c r="W85" i="5"/>
  <c r="X85" i="5"/>
  <c r="S177" i="5"/>
  <c r="S173" i="5"/>
  <c r="S178" i="5"/>
  <c r="S104" i="5"/>
  <c r="S81" i="5"/>
  <c r="S47" i="5"/>
  <c r="S132" i="5"/>
  <c r="S129" i="5"/>
  <c r="S128" i="5"/>
  <c r="W90" i="5"/>
  <c r="X90" i="5"/>
  <c r="W38" i="5"/>
  <c r="X38" i="5"/>
  <c r="W67" i="5"/>
  <c r="X67" i="5"/>
  <c r="W31" i="5"/>
  <c r="X31" i="5"/>
  <c r="W136" i="5"/>
  <c r="X136" i="5"/>
  <c r="W69" i="5"/>
  <c r="S160" i="5"/>
  <c r="S156" i="5"/>
  <c r="S163" i="5"/>
  <c r="S44" i="5"/>
  <c r="S92" i="5"/>
  <c r="S114" i="5"/>
  <c r="W115" i="5"/>
  <c r="X115" i="5"/>
  <c r="W157" i="5"/>
  <c r="X157" i="5"/>
  <c r="Q164" i="5"/>
  <c r="Q87" i="5"/>
  <c r="W88" i="5"/>
  <c r="X88" i="5"/>
  <c r="R149" i="5"/>
  <c r="R176" i="5"/>
  <c r="R172" i="5"/>
  <c r="R84" i="5"/>
  <c r="Q176" i="5"/>
  <c r="Q172" i="5"/>
  <c r="Q149" i="5"/>
  <c r="Q84" i="5"/>
  <c r="T179" i="5"/>
  <c r="T29" i="5"/>
  <c r="V179" i="5"/>
  <c r="V29" i="5"/>
  <c r="U153" i="5"/>
  <c r="U45" i="5"/>
  <c r="T122" i="5"/>
  <c r="T126" i="5"/>
  <c r="V126" i="5"/>
  <c r="V122" i="5"/>
  <c r="W111" i="5"/>
  <c r="X111" i="5"/>
  <c r="W98" i="5"/>
  <c r="X98" i="5"/>
  <c r="T175" i="5"/>
  <c r="T171" i="5"/>
  <c r="V175" i="5"/>
  <c r="V171" i="5"/>
  <c r="S137" i="5"/>
  <c r="S135" i="5"/>
  <c r="S121" i="5"/>
  <c r="S119" i="5"/>
  <c r="S120" i="5"/>
  <c r="W46" i="5"/>
  <c r="X46" i="5"/>
  <c r="R146" i="5"/>
  <c r="R112" i="5"/>
  <c r="R52" i="5"/>
  <c r="Q146" i="5"/>
  <c r="Q112" i="5"/>
  <c r="Q52" i="5"/>
  <c r="W152" i="5"/>
  <c r="X152" i="5"/>
  <c r="R158" i="5"/>
  <c r="R79" i="5"/>
  <c r="R74" i="5"/>
  <c r="Q158" i="5"/>
  <c r="Q79" i="5"/>
  <c r="Q74" i="5"/>
  <c r="S159" i="5"/>
  <c r="S82" i="5"/>
  <c r="S169" i="5"/>
  <c r="S40" i="5"/>
  <c r="W124" i="5"/>
  <c r="X124" i="5"/>
  <c r="R130" i="5"/>
  <c r="R127" i="5"/>
  <c r="W57" i="5"/>
  <c r="X57" i="5"/>
  <c r="U174" i="5"/>
  <c r="U107" i="5"/>
  <c r="U91" i="5"/>
  <c r="U94" i="5"/>
  <c r="S105" i="5"/>
  <c r="S89" i="5"/>
  <c r="R105" i="5"/>
  <c r="R89" i="5"/>
  <c r="S96" i="5"/>
  <c r="S97" i="5"/>
  <c r="R97" i="5"/>
  <c r="R96" i="5"/>
  <c r="W99" i="5"/>
  <c r="X99" i="5"/>
  <c r="W49" i="5"/>
  <c r="X49" i="5"/>
  <c r="W48" i="5"/>
  <c r="X48" i="5"/>
  <c r="W86" i="5"/>
  <c r="X86" i="5"/>
  <c r="R165" i="5"/>
  <c r="R83" i="5"/>
  <c r="T151" i="5"/>
  <c r="T50" i="5"/>
  <c r="T178" i="5"/>
  <c r="T177" i="5"/>
  <c r="T173" i="5"/>
  <c r="T104" i="5"/>
  <c r="T81" i="5"/>
  <c r="T47" i="5"/>
  <c r="T132" i="5"/>
  <c r="T129" i="5"/>
  <c r="T128" i="5"/>
  <c r="T163" i="5"/>
  <c r="T160" i="5"/>
  <c r="T156" i="5"/>
  <c r="T44" i="5"/>
  <c r="T92" i="5"/>
  <c r="T114" i="5"/>
  <c r="T164" i="5"/>
  <c r="T87" i="5"/>
  <c r="V149" i="5"/>
  <c r="V176" i="5"/>
  <c r="V172" i="5"/>
  <c r="V84" i="5"/>
  <c r="U176" i="5"/>
  <c r="U172" i="5"/>
  <c r="U149" i="5"/>
  <c r="U84" i="5"/>
  <c r="W144" i="5"/>
  <c r="X144" i="5"/>
  <c r="W161" i="5"/>
  <c r="X161" i="5"/>
  <c r="Q179" i="5"/>
  <c r="Q29" i="5"/>
  <c r="S179" i="5"/>
  <c r="S29" i="5"/>
  <c r="W123" i="5"/>
  <c r="X123" i="5"/>
  <c r="W113" i="5"/>
  <c r="X113" i="5"/>
  <c r="R153" i="5"/>
  <c r="R45" i="5"/>
  <c r="Q126" i="5"/>
  <c r="Q122" i="5"/>
  <c r="S126" i="5"/>
  <c r="S122" i="5"/>
  <c r="Q175" i="5"/>
  <c r="Q171" i="5"/>
  <c r="S175" i="5"/>
  <c r="S171" i="5"/>
  <c r="R137" i="5"/>
  <c r="R135" i="5"/>
  <c r="R120" i="5"/>
  <c r="R119" i="5"/>
  <c r="R121" i="5"/>
  <c r="V146" i="5"/>
  <c r="V112" i="5"/>
  <c r="V52" i="5"/>
  <c r="U146" i="5"/>
  <c r="U112" i="5"/>
  <c r="U52" i="5"/>
  <c r="V158" i="5"/>
  <c r="V79" i="5"/>
  <c r="V74" i="5"/>
  <c r="U158" i="5"/>
  <c r="U79" i="5"/>
  <c r="U74" i="5"/>
  <c r="T159" i="5"/>
  <c r="T82" i="5"/>
  <c r="T169" i="5"/>
  <c r="T40" i="5"/>
  <c r="V130" i="5"/>
  <c r="V127" i="5"/>
  <c r="T174" i="5"/>
  <c r="T94" i="5"/>
  <c r="T107" i="5"/>
  <c r="T91" i="5"/>
  <c r="W147" i="5"/>
  <c r="X147" i="5"/>
  <c r="W125" i="5"/>
  <c r="X125" i="5"/>
  <c r="W138" i="5"/>
  <c r="X138" i="5"/>
  <c r="W168" i="5"/>
  <c r="X168" i="5"/>
  <c r="T105" i="5"/>
  <c r="T89" i="5"/>
  <c r="V105" i="5"/>
  <c r="V89" i="5"/>
  <c r="T96" i="5"/>
  <c r="T97" i="5"/>
  <c r="V97" i="5"/>
  <c r="V96" i="5"/>
  <c r="V165" i="5"/>
  <c r="V83" i="5"/>
  <c r="W51" i="5"/>
  <c r="X51" i="5"/>
  <c r="R151" i="5"/>
  <c r="R50" i="5"/>
  <c r="Q151" i="5"/>
  <c r="Q50" i="5"/>
  <c r="W148" i="5"/>
  <c r="X148" i="5"/>
  <c r="R128" i="5"/>
  <c r="R132" i="5"/>
  <c r="R129" i="5"/>
  <c r="Q132" i="5"/>
  <c r="Q128" i="5"/>
  <c r="Q129" i="5"/>
  <c r="R160" i="5"/>
  <c r="R156" i="5"/>
  <c r="R163" i="5"/>
  <c r="R114" i="5"/>
  <c r="R44" i="5"/>
  <c r="R92" i="5"/>
  <c r="Q163" i="5"/>
  <c r="Q160" i="5"/>
  <c r="Q156" i="5"/>
  <c r="Q114" i="5"/>
  <c r="Q44" i="5"/>
  <c r="Q92" i="5"/>
  <c r="W118" i="5"/>
  <c r="X118" i="5"/>
  <c r="S164" i="5"/>
  <c r="S87" i="5"/>
  <c r="R164" i="5"/>
  <c r="R87" i="5"/>
  <c r="W140" i="5"/>
  <c r="X140" i="5"/>
  <c r="W139" i="5"/>
  <c r="X139" i="5"/>
  <c r="S149" i="5"/>
  <c r="S176" i="5"/>
  <c r="S172" i="5"/>
  <c r="S84" i="5"/>
  <c r="W166" i="5"/>
  <c r="X166" i="5"/>
  <c r="W150" i="5"/>
  <c r="X150" i="5"/>
  <c r="U179" i="5"/>
  <c r="U29" i="5"/>
  <c r="T153" i="5"/>
  <c r="T45" i="5"/>
  <c r="V153" i="5"/>
  <c r="V45" i="5"/>
  <c r="U126" i="5"/>
  <c r="U122" i="5"/>
  <c r="W143" i="5"/>
  <c r="X143" i="5"/>
  <c r="U175" i="5"/>
  <c r="U171" i="5"/>
  <c r="W53" i="5"/>
  <c r="X53" i="5"/>
  <c r="U137" i="5"/>
  <c r="U135" i="5"/>
  <c r="U120" i="5"/>
  <c r="U121" i="5"/>
  <c r="U119" i="5"/>
  <c r="V137" i="5"/>
  <c r="V135" i="5"/>
  <c r="V121" i="5"/>
  <c r="V120" i="5"/>
  <c r="V119" i="5"/>
  <c r="W43" i="5"/>
  <c r="X43" i="5"/>
  <c r="S146" i="5"/>
  <c r="S112" i="5"/>
  <c r="S52" i="5"/>
  <c r="W145" i="5"/>
  <c r="X145" i="5"/>
  <c r="W162" i="5"/>
  <c r="X162" i="5"/>
  <c r="S158" i="5"/>
  <c r="S74" i="5"/>
  <c r="S79" i="5"/>
  <c r="R159" i="5"/>
  <c r="R82" i="5"/>
  <c r="Q159" i="5"/>
  <c r="Q82" i="5"/>
  <c r="R169" i="5"/>
  <c r="R40" i="5"/>
  <c r="Q169" i="5"/>
  <c r="Q40" i="5"/>
  <c r="W142" i="5"/>
  <c r="X142" i="5"/>
  <c r="Q130" i="5"/>
  <c r="Q127" i="5"/>
  <c r="S130" i="5"/>
  <c r="S127" i="5"/>
  <c r="W109" i="5"/>
  <c r="X109" i="5"/>
  <c r="X33" i="5"/>
  <c r="Q174" i="5"/>
  <c r="Q107" i="5"/>
  <c r="Q91" i="5"/>
  <c r="Q94" i="5"/>
  <c r="R174" i="5"/>
  <c r="R107" i="5"/>
  <c r="R91" i="5"/>
  <c r="R94" i="5"/>
  <c r="W103" i="5"/>
  <c r="X103" i="5"/>
  <c r="Q105" i="5"/>
  <c r="Q89" i="5"/>
  <c r="X65" i="5"/>
  <c r="Q97" i="5"/>
  <c r="Q96" i="5"/>
  <c r="W101" i="5"/>
  <c r="X101" i="5"/>
  <c r="V151" i="5"/>
  <c r="V50" i="5"/>
  <c r="U151" i="5"/>
  <c r="U50" i="5"/>
  <c r="V177" i="5"/>
  <c r="V173" i="5"/>
  <c r="V178" i="5"/>
  <c r="V81" i="5"/>
  <c r="V104" i="5"/>
  <c r="V47" i="5"/>
  <c r="U178" i="5"/>
  <c r="U177" i="5"/>
  <c r="U173" i="5"/>
  <c r="U81" i="5"/>
  <c r="U104" i="5"/>
  <c r="U47" i="5"/>
  <c r="V128" i="5"/>
  <c r="V129" i="5"/>
  <c r="V132" i="5"/>
  <c r="U132" i="5"/>
  <c r="U128" i="5"/>
  <c r="U129" i="5"/>
  <c r="V160" i="5"/>
  <c r="V156" i="5"/>
  <c r="V163" i="5"/>
  <c r="V114" i="5"/>
  <c r="V44" i="5"/>
  <c r="V92" i="5"/>
  <c r="U163" i="5"/>
  <c r="U160" i="5"/>
  <c r="U156" i="5"/>
  <c r="U114" i="5"/>
  <c r="U44" i="5"/>
  <c r="U92" i="5"/>
  <c r="U164" i="5"/>
  <c r="U87" i="5"/>
  <c r="V164" i="5"/>
  <c r="V87" i="5"/>
  <c r="T176" i="5"/>
  <c r="T172" i="5"/>
  <c r="T149" i="5"/>
  <c r="T84" i="5"/>
  <c r="W42" i="5"/>
  <c r="X42" i="5"/>
  <c r="W108" i="5"/>
  <c r="X108" i="5"/>
  <c r="W100" i="5"/>
  <c r="X100" i="5"/>
  <c r="R179" i="5"/>
  <c r="R29" i="5"/>
  <c r="W64" i="5"/>
  <c r="X64" i="5"/>
  <c r="W63" i="5"/>
  <c r="X63" i="5"/>
  <c r="Q153" i="5"/>
  <c r="Q45" i="5"/>
  <c r="S153" i="5"/>
  <c r="S45" i="5"/>
  <c r="W80" i="5"/>
  <c r="X80" i="5"/>
  <c r="R126" i="5"/>
  <c r="R122" i="5"/>
  <c r="R175" i="5"/>
  <c r="R171" i="5"/>
  <c r="Q137" i="5"/>
  <c r="Q135" i="5"/>
  <c r="Q121" i="5"/>
  <c r="Q120" i="5"/>
  <c r="Q119" i="5"/>
  <c r="T119" i="5"/>
  <c r="T135" i="5"/>
  <c r="T137" i="5"/>
  <c r="T121" i="5"/>
  <c r="T120" i="5"/>
  <c r="W93" i="5"/>
  <c r="X93" i="5"/>
  <c r="T146" i="5"/>
  <c r="T112" i="5"/>
  <c r="T52" i="5"/>
  <c r="T158" i="5"/>
  <c r="T74" i="5"/>
  <c r="T79" i="5"/>
  <c r="V159" i="5"/>
  <c r="V82" i="5"/>
  <c r="U159" i="5"/>
  <c r="U82" i="5"/>
  <c r="V169" i="5"/>
  <c r="V40" i="5"/>
  <c r="U169" i="5"/>
  <c r="U40" i="5"/>
  <c r="U130" i="5"/>
  <c r="U127" i="5"/>
  <c r="T127" i="5"/>
  <c r="T130" i="5"/>
  <c r="S174" i="5"/>
  <c r="S94" i="5"/>
  <c r="S107" i="5"/>
  <c r="S91" i="5"/>
  <c r="V174" i="5"/>
  <c r="V107" i="5"/>
  <c r="V91" i="5"/>
  <c r="V94" i="5"/>
  <c r="W95" i="5"/>
  <c r="X95" i="5"/>
  <c r="W106" i="5"/>
  <c r="X106" i="5"/>
  <c r="W102" i="5"/>
  <c r="X102" i="5"/>
  <c r="U105" i="5"/>
  <c r="U89" i="5"/>
  <c r="U97" i="5"/>
  <c r="U96" i="5"/>
  <c r="W116" i="5"/>
  <c r="X116" i="5"/>
  <c r="X72" i="5" l="1"/>
  <c r="O72" i="5" s="1"/>
  <c r="W22" i="5"/>
  <c r="L114" i="9"/>
  <c r="N114" i="9"/>
  <c r="O114" i="9"/>
  <c r="M114" i="9"/>
  <c r="K114" i="9"/>
  <c r="P114" i="9"/>
  <c r="X154" i="5"/>
  <c r="W11" i="5"/>
  <c r="W18" i="5"/>
  <c r="X68" i="5"/>
  <c r="O68" i="5" s="1"/>
  <c r="X73" i="5"/>
  <c r="W62" i="5"/>
  <c r="X117" i="5"/>
  <c r="W36" i="5"/>
  <c r="X60" i="5"/>
  <c r="O60" i="5" s="1"/>
  <c r="X71" i="5"/>
  <c r="O71" i="5" s="1"/>
  <c r="W71" i="5"/>
  <c r="N71" i="5" s="1"/>
  <c r="W13" i="5"/>
  <c r="N13" i="5" s="1"/>
  <c r="W28" i="5"/>
  <c r="N28" i="5" s="1"/>
  <c r="W76" i="5"/>
  <c r="X39" i="5"/>
  <c r="W35" i="5"/>
  <c r="X41" i="5"/>
  <c r="O41" i="5" s="1"/>
  <c r="W41" i="5"/>
  <c r="N41" i="5" s="1"/>
  <c r="W25" i="5"/>
  <c r="N25" i="5" s="1"/>
  <c r="W20" i="5"/>
  <c r="N20" i="5" s="1"/>
  <c r="X30" i="5"/>
  <c r="O30" i="5" s="1"/>
  <c r="W30" i="5"/>
  <c r="N30" i="5" s="1"/>
  <c r="X24" i="5"/>
  <c r="O24" i="5" s="1"/>
  <c r="W24" i="5"/>
  <c r="N24" i="5" s="1"/>
  <c r="X19" i="5"/>
  <c r="O19" i="5" s="1"/>
  <c r="W19" i="5"/>
  <c r="N19" i="5" s="1"/>
  <c r="X37" i="5"/>
  <c r="O37" i="5" s="1"/>
  <c r="W37" i="5"/>
  <c r="N37" i="5" s="1"/>
  <c r="X77" i="5"/>
  <c r="O77" i="5" s="1"/>
  <c r="W77" i="5"/>
  <c r="N77" i="5" s="1"/>
  <c r="W15" i="5"/>
  <c r="X27" i="5"/>
  <c r="X23" i="5"/>
  <c r="W21" i="5"/>
  <c r="W5" i="5"/>
  <c r="X110" i="5"/>
  <c r="X26" i="5"/>
  <c r="W120" i="5"/>
  <c r="X120" i="5"/>
  <c r="W107" i="5"/>
  <c r="X107" i="5"/>
  <c r="W127" i="5"/>
  <c r="X127" i="5"/>
  <c r="W92" i="5"/>
  <c r="X92" i="5"/>
  <c r="W160" i="5"/>
  <c r="X160" i="5"/>
  <c r="W132" i="5"/>
  <c r="X132" i="5"/>
  <c r="W126" i="5"/>
  <c r="X126" i="5"/>
  <c r="W74" i="5"/>
  <c r="X74" i="5"/>
  <c r="W52" i="5"/>
  <c r="X52" i="5"/>
  <c r="W149" i="5"/>
  <c r="X149" i="5"/>
  <c r="W81" i="5"/>
  <c r="X81" i="5"/>
  <c r="W121" i="5"/>
  <c r="X121" i="5"/>
  <c r="W174" i="5"/>
  <c r="X174" i="5"/>
  <c r="W130" i="5"/>
  <c r="X130" i="5"/>
  <c r="W44" i="5"/>
  <c r="X44" i="5"/>
  <c r="W163" i="5"/>
  <c r="X163" i="5"/>
  <c r="W171" i="5"/>
  <c r="X171" i="5"/>
  <c r="W29" i="5"/>
  <c r="X29" i="5"/>
  <c r="W79" i="5"/>
  <c r="X79" i="5"/>
  <c r="W112" i="5"/>
  <c r="X112" i="5"/>
  <c r="W172" i="5"/>
  <c r="X172" i="5"/>
  <c r="W87" i="5"/>
  <c r="X87" i="5"/>
  <c r="W173" i="5"/>
  <c r="X173" i="5"/>
  <c r="W135" i="5"/>
  <c r="X135" i="5"/>
  <c r="W45" i="5"/>
  <c r="X45" i="5"/>
  <c r="W96" i="5"/>
  <c r="X96" i="5"/>
  <c r="W89" i="5"/>
  <c r="X89" i="5"/>
  <c r="W94" i="5"/>
  <c r="X94" i="5"/>
  <c r="W40" i="5"/>
  <c r="X40" i="5"/>
  <c r="W82" i="5"/>
  <c r="X82" i="5"/>
  <c r="W114" i="5"/>
  <c r="X114" i="5"/>
  <c r="W129" i="5"/>
  <c r="X129" i="5"/>
  <c r="W50" i="5"/>
  <c r="X50" i="5"/>
  <c r="W175" i="5"/>
  <c r="X175" i="5"/>
  <c r="W179" i="5"/>
  <c r="X179" i="5"/>
  <c r="W158" i="5"/>
  <c r="X158" i="5"/>
  <c r="W146" i="5"/>
  <c r="X146" i="5"/>
  <c r="W176" i="5"/>
  <c r="X176" i="5"/>
  <c r="W164" i="5"/>
  <c r="X164" i="5"/>
  <c r="W83" i="5"/>
  <c r="X83" i="5"/>
  <c r="W47" i="5"/>
  <c r="X47" i="5"/>
  <c r="W177" i="5"/>
  <c r="X177" i="5"/>
  <c r="W119" i="5"/>
  <c r="X119" i="5"/>
  <c r="W137" i="5"/>
  <c r="X137" i="5"/>
  <c r="W153" i="5"/>
  <c r="X153" i="5"/>
  <c r="W97" i="5"/>
  <c r="X97" i="5"/>
  <c r="W105" i="5"/>
  <c r="X105" i="5"/>
  <c r="W91" i="5"/>
  <c r="X91" i="5"/>
  <c r="W169" i="5"/>
  <c r="X169" i="5"/>
  <c r="W159" i="5"/>
  <c r="X159" i="5"/>
  <c r="W156" i="5"/>
  <c r="X156" i="5"/>
  <c r="W128" i="5"/>
  <c r="X128" i="5"/>
  <c r="W151" i="5"/>
  <c r="X151" i="5"/>
  <c r="W122" i="5"/>
  <c r="X122" i="5"/>
  <c r="W84" i="5"/>
  <c r="X84" i="5"/>
  <c r="W165" i="5"/>
  <c r="X165" i="5"/>
  <c r="W104" i="5"/>
  <c r="X104" i="5"/>
  <c r="W178" i="5"/>
  <c r="X178" i="5"/>
  <c r="O200" i="5"/>
  <c r="O233" i="5" s="1"/>
  <c r="N200" i="5"/>
  <c r="N233" i="5" s="1"/>
  <c r="M200" i="5"/>
  <c r="M233" i="5" s="1"/>
  <c r="L200" i="5"/>
  <c r="L233" i="5" s="1"/>
  <c r="K200" i="5"/>
  <c r="K233" i="5" s="1"/>
  <c r="J200" i="5"/>
  <c r="J233" i="5" s="1"/>
  <c r="I200" i="5"/>
  <c r="I233" i="5" s="1"/>
  <c r="B3" i="7" l="1"/>
  <c r="B13" i="4" l="1"/>
  <c r="AH174" i="5" l="1"/>
  <c r="AH169" i="5"/>
  <c r="AH168" i="5"/>
  <c r="AH166" i="5"/>
  <c r="AH165" i="5"/>
  <c r="AH164" i="5"/>
  <c r="AH163" i="5"/>
  <c r="AH160" i="5"/>
  <c r="AH156" i="5"/>
  <c r="AH154" i="5"/>
  <c r="AH153" i="5"/>
  <c r="AH143" i="5"/>
  <c r="AH142" i="5"/>
  <c r="AH141" i="5"/>
  <c r="AH140" i="5"/>
  <c r="AH139" i="5"/>
  <c r="AH138" i="5"/>
  <c r="AH137" i="5"/>
  <c r="AH136" i="5"/>
  <c r="AH135" i="5"/>
  <c r="AH132" i="5"/>
  <c r="AH130" i="5"/>
  <c r="AH129" i="5"/>
  <c r="AH128" i="5"/>
  <c r="AH127" i="5"/>
  <c r="AH126" i="5"/>
  <c r="AH124" i="5"/>
  <c r="AH122" i="5"/>
  <c r="AH121" i="5"/>
  <c r="AH120" i="5"/>
  <c r="AH119" i="5"/>
  <c r="AH114" i="5"/>
  <c r="AH113" i="5"/>
  <c r="AH111" i="5"/>
  <c r="AH110" i="5"/>
  <c r="AH109" i="5"/>
  <c r="AH44" i="5"/>
  <c r="AH107" i="5"/>
  <c r="AH105" i="5"/>
  <c r="AH99" i="5"/>
  <c r="AH98" i="5"/>
  <c r="AH97" i="5"/>
  <c r="AH96" i="5"/>
  <c r="AH94" i="5"/>
  <c r="AH93" i="5"/>
  <c r="AH92" i="5"/>
  <c r="AH91" i="5"/>
  <c r="AH90" i="5"/>
  <c r="AH89" i="5"/>
  <c r="AH88" i="5"/>
  <c r="AH87" i="5"/>
  <c r="AH86" i="5"/>
  <c r="AH83" i="5"/>
  <c r="AH80" i="5"/>
  <c r="AH8" i="5"/>
  <c r="AH7" i="5"/>
  <c r="AH76" i="5"/>
  <c r="AH73" i="5"/>
  <c r="AH69" i="5"/>
  <c r="AH67" i="5"/>
  <c r="AH65" i="5"/>
  <c r="AH64" i="5"/>
  <c r="AH62" i="5"/>
  <c r="AH61" i="5"/>
  <c r="AH63" i="5"/>
  <c r="AH49" i="5"/>
  <c r="AH45" i="5"/>
  <c r="AH40" i="5"/>
  <c r="AH39" i="5"/>
  <c r="AH38" i="5"/>
  <c r="AH36" i="5"/>
  <c r="AH31" i="5"/>
  <c r="AH26" i="5"/>
  <c r="AH23" i="5"/>
  <c r="AH21" i="5"/>
  <c r="AH18" i="5"/>
  <c r="AH17" i="5"/>
  <c r="AH15" i="5"/>
  <c r="AH11" i="5"/>
  <c r="AH35" i="5"/>
  <c r="C15" i="6"/>
  <c r="C14" i="6"/>
  <c r="C13" i="6"/>
  <c r="K94" i="4"/>
  <c r="K93" i="4"/>
  <c r="K92" i="4"/>
  <c r="K91" i="4"/>
  <c r="K90" i="4"/>
  <c r="K89" i="4"/>
  <c r="C4" i="6"/>
  <c r="C32" i="6" l="1"/>
  <c r="K38" i="4"/>
  <c r="K37" i="4"/>
  <c r="K36" i="4"/>
  <c r="K35" i="4"/>
  <c r="A26" i="6" l="1"/>
  <c r="A25" i="6"/>
  <c r="A24" i="6"/>
  <c r="A22" i="6"/>
  <c r="A21" i="6"/>
  <c r="A20" i="6"/>
  <c r="A19" i="6"/>
  <c r="C6" i="6"/>
  <c r="C3" i="6"/>
  <c r="C47" i="4"/>
  <c r="D47" i="4"/>
  <c r="D46" i="4"/>
  <c r="C46" i="4"/>
  <c r="D22" i="4"/>
  <c r="C22" i="4"/>
  <c r="L104" i="4"/>
  <c r="K104" i="4"/>
  <c r="H104" i="4"/>
  <c r="F104" i="4"/>
  <c r="L101" i="4"/>
  <c r="K101" i="4"/>
  <c r="H101" i="4"/>
  <c r="F101" i="4"/>
  <c r="L100" i="4"/>
  <c r="K100" i="4"/>
  <c r="H100" i="4"/>
  <c r="F100" i="4"/>
  <c r="L99" i="4"/>
  <c r="K99" i="4"/>
  <c r="H99" i="4"/>
  <c r="F99" i="4"/>
  <c r="C158" i="4"/>
  <c r="J158" i="4" s="1"/>
  <c r="C157" i="4"/>
  <c r="J157" i="4" s="1"/>
  <c r="C156" i="4"/>
  <c r="J156" i="4" s="1"/>
  <c r="C155" i="4"/>
  <c r="J155" i="4" s="1"/>
  <c r="C154" i="4"/>
  <c r="J154" i="4" s="1"/>
  <c r="L97" i="1"/>
  <c r="L96" i="1"/>
  <c r="L95" i="1"/>
  <c r="L94" i="1"/>
  <c r="L93" i="1"/>
  <c r="L92" i="1"/>
  <c r="L91" i="1"/>
  <c r="L90" i="1"/>
  <c r="L89" i="1"/>
  <c r="L87" i="1"/>
  <c r="L86" i="1"/>
  <c r="L85" i="1"/>
  <c r="L84" i="1"/>
  <c r="L83" i="1"/>
  <c r="L82" i="1"/>
  <c r="L81" i="1"/>
  <c r="L80" i="1"/>
  <c r="L79" i="1"/>
  <c r="L78" i="1"/>
  <c r="L77" i="1"/>
  <c r="L76" i="1"/>
  <c r="L75" i="1"/>
  <c r="L74" i="1"/>
  <c r="L73" i="1"/>
  <c r="L72" i="1"/>
  <c r="L71" i="1"/>
  <c r="L70" i="1"/>
  <c r="L69" i="1"/>
  <c r="L68" i="1"/>
  <c r="L67" i="1"/>
  <c r="L66" i="1"/>
  <c r="L65" i="1"/>
  <c r="L64" i="1"/>
  <c r="L63" i="1"/>
  <c r="H102" i="1"/>
  <c r="H101" i="1"/>
  <c r="H100" i="1"/>
  <c r="H99" i="1"/>
  <c r="H98" i="1"/>
  <c r="H97" i="1"/>
  <c r="H93"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3" i="1"/>
  <c r="X17" i="5"/>
  <c r="P179" i="5"/>
  <c r="P178" i="5"/>
  <c r="P177" i="5"/>
  <c r="P176" i="5"/>
  <c r="P175" i="5"/>
  <c r="P174" i="5"/>
  <c r="P173" i="5"/>
  <c r="P172" i="5"/>
  <c r="P171" i="5"/>
  <c r="P169" i="5"/>
  <c r="P168" i="5"/>
  <c r="P167" i="5"/>
  <c r="P166" i="5"/>
  <c r="P165" i="5"/>
  <c r="P164" i="5"/>
  <c r="P163" i="5"/>
  <c r="P162" i="5"/>
  <c r="P161" i="5"/>
  <c r="P160" i="5"/>
  <c r="P159" i="5"/>
  <c r="P158" i="5"/>
  <c r="P157" i="5"/>
  <c r="P156" i="5"/>
  <c r="P154" i="5"/>
  <c r="P153" i="5"/>
  <c r="P152" i="5"/>
  <c r="P151" i="5"/>
  <c r="P150" i="5"/>
  <c r="P149" i="5"/>
  <c r="P148" i="5"/>
  <c r="P147" i="5"/>
  <c r="P146" i="5"/>
  <c r="P145" i="5"/>
  <c r="P144" i="5"/>
  <c r="P143" i="5"/>
  <c r="P142" i="5"/>
  <c r="P141" i="5"/>
  <c r="P5" i="5"/>
  <c r="P140" i="5"/>
  <c r="P139" i="5"/>
  <c r="P138" i="5"/>
  <c r="P137" i="5"/>
  <c r="P136" i="5"/>
  <c r="P135" i="5"/>
  <c r="P132" i="5"/>
  <c r="P130" i="5"/>
  <c r="P129" i="5"/>
  <c r="P128" i="5"/>
  <c r="P127" i="5"/>
  <c r="P126" i="5"/>
  <c r="P125" i="5"/>
  <c r="P124" i="5"/>
  <c r="P123" i="5"/>
  <c r="P122" i="5"/>
  <c r="P121" i="5"/>
  <c r="P120" i="5"/>
  <c r="P119" i="5"/>
  <c r="P118" i="5"/>
  <c r="P117" i="5"/>
  <c r="P116" i="5"/>
  <c r="P115" i="5"/>
  <c r="P114" i="5"/>
  <c r="P113" i="5"/>
  <c r="P112" i="5"/>
  <c r="P111" i="5"/>
  <c r="P110" i="5"/>
  <c r="P109" i="5"/>
  <c r="P108" i="5"/>
  <c r="P44" i="5"/>
  <c r="P107" i="5"/>
  <c r="P106" i="5"/>
  <c r="P105" i="5"/>
  <c r="P104" i="5"/>
  <c r="P103" i="5"/>
  <c r="P102" i="5"/>
  <c r="P101" i="5"/>
  <c r="P100" i="5"/>
  <c r="P99" i="5"/>
  <c r="P98" i="5"/>
  <c r="P97" i="5"/>
  <c r="P96" i="5"/>
  <c r="P95" i="5"/>
  <c r="P94" i="5"/>
  <c r="P93" i="5"/>
  <c r="P92" i="5"/>
  <c r="P91" i="5"/>
  <c r="P90" i="5"/>
  <c r="P89" i="5"/>
  <c r="P88" i="5"/>
  <c r="P87" i="5"/>
  <c r="P86" i="5"/>
  <c r="P85" i="5"/>
  <c r="P84" i="5"/>
  <c r="P83" i="5"/>
  <c r="P82" i="5"/>
  <c r="P81" i="5"/>
  <c r="P80" i="5"/>
  <c r="P79" i="5"/>
  <c r="P74" i="5"/>
  <c r="P8" i="5"/>
  <c r="P7" i="5"/>
  <c r="P76" i="5"/>
  <c r="P73" i="5"/>
  <c r="P69" i="5"/>
  <c r="P67" i="5"/>
  <c r="P65" i="5"/>
  <c r="P64" i="5"/>
  <c r="P62" i="5"/>
  <c r="P61" i="5"/>
  <c r="P63" i="5"/>
  <c r="P57" i="5"/>
  <c r="P56" i="5"/>
  <c r="P55" i="5"/>
  <c r="P54" i="5"/>
  <c r="P53" i="5"/>
  <c r="P52" i="5"/>
  <c r="P51" i="5"/>
  <c r="P50" i="5"/>
  <c r="P49" i="5"/>
  <c r="P48" i="5"/>
  <c r="P47" i="5"/>
  <c r="P46" i="5"/>
  <c r="P45" i="5"/>
  <c r="P43" i="5"/>
  <c r="P42" i="5"/>
  <c r="P40" i="5"/>
  <c r="P29" i="5"/>
  <c r="P39" i="5"/>
  <c r="P38" i="5"/>
  <c r="P36" i="5"/>
  <c r="P33" i="5"/>
  <c r="P31" i="5"/>
  <c r="P26" i="5"/>
  <c r="P23" i="5"/>
  <c r="P21" i="5"/>
  <c r="P18" i="5"/>
  <c r="P17" i="5"/>
  <c r="P15" i="5"/>
  <c r="P11" i="5"/>
  <c r="P35" i="5"/>
  <c r="P27" i="5"/>
  <c r="P22" i="5"/>
  <c r="D145" i="1"/>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M5" i="1"/>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P191" i="5" l="1"/>
  <c r="P193" i="5"/>
  <c r="P186" i="5"/>
  <c r="P190" i="5"/>
  <c r="P192" i="5"/>
  <c r="P189" i="5"/>
  <c r="P188" i="5"/>
  <c r="P187" i="5"/>
  <c r="P203" i="5"/>
  <c r="G157" i="4"/>
  <c r="G99" i="4"/>
  <c r="G154" i="4"/>
  <c r="G101" i="4"/>
  <c r="G156" i="4"/>
  <c r="G104" i="4"/>
  <c r="G158" i="4"/>
  <c r="G100" i="4"/>
  <c r="G155" i="4"/>
  <c r="M27" i="5"/>
  <c r="I27" i="5"/>
  <c r="L27" i="5"/>
  <c r="J27" i="5"/>
  <c r="N27" i="5"/>
  <c r="K27" i="5"/>
  <c r="O27" i="5"/>
  <c r="K17" i="5"/>
  <c r="N17" i="5"/>
  <c r="J17" i="5"/>
  <c r="L17" i="5"/>
  <c r="I17" i="5"/>
  <c r="M17" i="5"/>
  <c r="K26" i="5"/>
  <c r="N26" i="5"/>
  <c r="J26" i="5"/>
  <c r="L26" i="5"/>
  <c r="M26" i="5"/>
  <c r="I26" i="5"/>
  <c r="O26" i="5"/>
  <c r="K38" i="5"/>
  <c r="N38" i="5"/>
  <c r="J38" i="5"/>
  <c r="L38" i="5"/>
  <c r="I38" i="5"/>
  <c r="M38" i="5"/>
  <c r="O38" i="5"/>
  <c r="K42" i="5"/>
  <c r="N42" i="5"/>
  <c r="J42" i="5"/>
  <c r="L42" i="5"/>
  <c r="M42" i="5"/>
  <c r="I42" i="5"/>
  <c r="O42" i="5"/>
  <c r="K47" i="5"/>
  <c r="N47" i="5"/>
  <c r="J47" i="5"/>
  <c r="L47" i="5"/>
  <c r="I47" i="5"/>
  <c r="M47" i="5"/>
  <c r="O47" i="5"/>
  <c r="K51" i="5"/>
  <c r="M51" i="5"/>
  <c r="L51" i="5"/>
  <c r="N51" i="5"/>
  <c r="J51" i="5"/>
  <c r="I51" i="5"/>
  <c r="O51" i="5"/>
  <c r="K67" i="5"/>
  <c r="J67" i="5"/>
  <c r="N67" i="5"/>
  <c r="I67" i="5"/>
  <c r="L67" i="5"/>
  <c r="M67" i="5"/>
  <c r="O67" i="5"/>
  <c r="K7" i="5"/>
  <c r="M7" i="5"/>
  <c r="L7" i="5"/>
  <c r="N7" i="5"/>
  <c r="I7" i="5"/>
  <c r="J7" i="5"/>
  <c r="K80" i="5"/>
  <c r="J80" i="5"/>
  <c r="N80" i="5"/>
  <c r="I80" i="5"/>
  <c r="L80" i="5"/>
  <c r="M80" i="5"/>
  <c r="O80" i="5"/>
  <c r="K84" i="5"/>
  <c r="M84" i="5"/>
  <c r="L84" i="5"/>
  <c r="I84" i="5"/>
  <c r="N84" i="5"/>
  <c r="J84" i="5"/>
  <c r="O84" i="5"/>
  <c r="K88" i="5"/>
  <c r="J88" i="5"/>
  <c r="N88" i="5"/>
  <c r="I88" i="5"/>
  <c r="M88" i="5"/>
  <c r="L88" i="5"/>
  <c r="O88" i="5"/>
  <c r="K92" i="5"/>
  <c r="M92" i="5"/>
  <c r="L92" i="5"/>
  <c r="N92" i="5"/>
  <c r="J92" i="5"/>
  <c r="I92" i="5"/>
  <c r="O92" i="5"/>
  <c r="K96" i="5"/>
  <c r="J96" i="5"/>
  <c r="N96" i="5"/>
  <c r="I96" i="5"/>
  <c r="L96" i="5"/>
  <c r="M96" i="5"/>
  <c r="O96" i="5"/>
  <c r="K100" i="5"/>
  <c r="M100" i="5"/>
  <c r="L100" i="5"/>
  <c r="I100" i="5"/>
  <c r="N100" i="5"/>
  <c r="J100" i="5"/>
  <c r="O100" i="5"/>
  <c r="K104" i="5"/>
  <c r="J104" i="5"/>
  <c r="N104" i="5"/>
  <c r="I104" i="5"/>
  <c r="L104" i="5"/>
  <c r="M104" i="5"/>
  <c r="O104" i="5"/>
  <c r="K44" i="5"/>
  <c r="M44" i="5"/>
  <c r="L44" i="5"/>
  <c r="N44" i="5"/>
  <c r="I44" i="5"/>
  <c r="J44" i="5"/>
  <c r="O44" i="5"/>
  <c r="K111" i="5"/>
  <c r="N111" i="5"/>
  <c r="J111" i="5"/>
  <c r="M111" i="5"/>
  <c r="L111" i="5"/>
  <c r="I111" i="5"/>
  <c r="O111" i="5"/>
  <c r="K115" i="5"/>
  <c r="N115" i="5"/>
  <c r="J115" i="5"/>
  <c r="M115" i="5"/>
  <c r="L115" i="5"/>
  <c r="I115" i="5"/>
  <c r="O115" i="5"/>
  <c r="K119" i="5"/>
  <c r="N119" i="5"/>
  <c r="J119" i="5"/>
  <c r="M119" i="5"/>
  <c r="L119" i="5"/>
  <c r="I119" i="5"/>
  <c r="O119" i="5"/>
  <c r="K123" i="5"/>
  <c r="N123" i="5"/>
  <c r="J123" i="5"/>
  <c r="M123" i="5"/>
  <c r="L123" i="5"/>
  <c r="I123" i="5"/>
  <c r="O123" i="5"/>
  <c r="L127" i="5"/>
  <c r="K127" i="5"/>
  <c r="J127" i="5"/>
  <c r="I127" i="5"/>
  <c r="N127" i="5"/>
  <c r="M127" i="5"/>
  <c r="O127" i="5"/>
  <c r="N132" i="5"/>
  <c r="J132" i="5"/>
  <c r="M132" i="5"/>
  <c r="L132" i="5"/>
  <c r="K132" i="5"/>
  <c r="I132" i="5"/>
  <c r="O132" i="5"/>
  <c r="L138" i="5"/>
  <c r="N138" i="5"/>
  <c r="I138" i="5"/>
  <c r="M138" i="5"/>
  <c r="K138" i="5"/>
  <c r="J138" i="5"/>
  <c r="O138" i="5"/>
  <c r="L144" i="5"/>
  <c r="N144" i="5"/>
  <c r="I144" i="5"/>
  <c r="M144" i="5"/>
  <c r="K144" i="5"/>
  <c r="J144" i="5"/>
  <c r="O144" i="5"/>
  <c r="L148" i="5"/>
  <c r="K148" i="5"/>
  <c r="J148" i="5"/>
  <c r="N148" i="5"/>
  <c r="M148" i="5"/>
  <c r="I148" i="5"/>
  <c r="O148" i="5"/>
  <c r="L152" i="5"/>
  <c r="N152" i="5"/>
  <c r="I152" i="5"/>
  <c r="M152" i="5"/>
  <c r="K152" i="5"/>
  <c r="J152" i="5"/>
  <c r="O152" i="5"/>
  <c r="L157" i="5"/>
  <c r="K157" i="5"/>
  <c r="J157" i="5"/>
  <c r="I157" i="5"/>
  <c r="N157" i="5"/>
  <c r="M157" i="5"/>
  <c r="O157" i="5"/>
  <c r="L161" i="5"/>
  <c r="N161" i="5"/>
  <c r="I161" i="5"/>
  <c r="M161" i="5"/>
  <c r="K161" i="5"/>
  <c r="J161" i="5"/>
  <c r="O161" i="5"/>
  <c r="L165" i="5"/>
  <c r="K165" i="5"/>
  <c r="J165" i="5"/>
  <c r="N165" i="5"/>
  <c r="M165" i="5"/>
  <c r="I165" i="5"/>
  <c r="O165" i="5"/>
  <c r="L169" i="5"/>
  <c r="N169" i="5"/>
  <c r="I169" i="5"/>
  <c r="M169" i="5"/>
  <c r="K169" i="5"/>
  <c r="J169" i="5"/>
  <c r="O169" i="5"/>
  <c r="L174" i="5"/>
  <c r="K174" i="5"/>
  <c r="J174" i="5"/>
  <c r="I174" i="5"/>
  <c r="N174" i="5"/>
  <c r="M174" i="5"/>
  <c r="O174" i="5"/>
  <c r="L178" i="5"/>
  <c r="N178" i="5"/>
  <c r="I178" i="5"/>
  <c r="M178" i="5"/>
  <c r="K178" i="5"/>
  <c r="J178" i="5"/>
  <c r="O178" i="5"/>
  <c r="K35" i="5"/>
  <c r="N35" i="5"/>
  <c r="J35" i="5"/>
  <c r="L35" i="5"/>
  <c r="M35" i="5"/>
  <c r="I35" i="5"/>
  <c r="O35" i="5"/>
  <c r="M18" i="5"/>
  <c r="I18" i="5"/>
  <c r="L18" i="5"/>
  <c r="N18" i="5"/>
  <c r="K18" i="5"/>
  <c r="J18" i="5"/>
  <c r="O18" i="5"/>
  <c r="M31" i="5"/>
  <c r="I31" i="5"/>
  <c r="L31" i="5"/>
  <c r="N31" i="5"/>
  <c r="J31" i="5"/>
  <c r="K31" i="5"/>
  <c r="O31" i="5"/>
  <c r="M39" i="5"/>
  <c r="I39" i="5"/>
  <c r="L39" i="5"/>
  <c r="N39" i="5"/>
  <c r="K39" i="5"/>
  <c r="J39" i="5"/>
  <c r="O39" i="5"/>
  <c r="M43" i="5"/>
  <c r="I43" i="5"/>
  <c r="L43" i="5"/>
  <c r="N43" i="5"/>
  <c r="J43" i="5"/>
  <c r="K43" i="5"/>
  <c r="O43" i="5"/>
  <c r="M48" i="5"/>
  <c r="I48" i="5"/>
  <c r="L48" i="5"/>
  <c r="N48" i="5"/>
  <c r="K48" i="5"/>
  <c r="J48" i="5"/>
  <c r="O48" i="5"/>
  <c r="M52" i="5"/>
  <c r="I52" i="5"/>
  <c r="L52" i="5"/>
  <c r="K52" i="5"/>
  <c r="N52" i="5"/>
  <c r="J52" i="5"/>
  <c r="O52" i="5"/>
  <c r="M62" i="5"/>
  <c r="I62" i="5"/>
  <c r="L62" i="5"/>
  <c r="K62" i="5"/>
  <c r="N62" i="5"/>
  <c r="J62" i="5"/>
  <c r="O62" i="5"/>
  <c r="M69" i="5"/>
  <c r="I69" i="5"/>
  <c r="J69" i="5"/>
  <c r="N69" i="5"/>
  <c r="K69" i="5"/>
  <c r="L69" i="5"/>
  <c r="O69" i="5"/>
  <c r="M8" i="5"/>
  <c r="I8" i="5"/>
  <c r="L8" i="5"/>
  <c r="K8" i="5"/>
  <c r="N8" i="5"/>
  <c r="J8" i="5"/>
  <c r="M81" i="5"/>
  <c r="I81" i="5"/>
  <c r="J81" i="5"/>
  <c r="N81" i="5"/>
  <c r="L81" i="5"/>
  <c r="K81" i="5"/>
  <c r="O81" i="5"/>
  <c r="M85" i="5"/>
  <c r="I85" i="5"/>
  <c r="L85" i="5"/>
  <c r="K85" i="5"/>
  <c r="N85" i="5"/>
  <c r="J85" i="5"/>
  <c r="O85" i="5"/>
  <c r="M89" i="5"/>
  <c r="I89" i="5"/>
  <c r="J89" i="5"/>
  <c r="N89" i="5"/>
  <c r="K89" i="5"/>
  <c r="L89" i="5"/>
  <c r="O89" i="5"/>
  <c r="M93" i="5"/>
  <c r="I93" i="5"/>
  <c r="L93" i="5"/>
  <c r="K93" i="5"/>
  <c r="N93" i="5"/>
  <c r="J93" i="5"/>
  <c r="O93" i="5"/>
  <c r="M97" i="5"/>
  <c r="I97" i="5"/>
  <c r="J97" i="5"/>
  <c r="N97" i="5"/>
  <c r="K97" i="5"/>
  <c r="L97" i="5"/>
  <c r="O97" i="5"/>
  <c r="M101" i="5"/>
  <c r="I101" i="5"/>
  <c r="L101" i="5"/>
  <c r="K101" i="5"/>
  <c r="N101" i="5"/>
  <c r="J101" i="5"/>
  <c r="O101" i="5"/>
  <c r="M105" i="5"/>
  <c r="I105" i="5"/>
  <c r="J105" i="5"/>
  <c r="N105" i="5"/>
  <c r="K105" i="5"/>
  <c r="L105" i="5"/>
  <c r="O105" i="5"/>
  <c r="M108" i="5"/>
  <c r="I108" i="5"/>
  <c r="L108" i="5"/>
  <c r="K108" i="5"/>
  <c r="N108" i="5"/>
  <c r="J108" i="5"/>
  <c r="O108" i="5"/>
  <c r="M112" i="5"/>
  <c r="I112" i="5"/>
  <c r="L112" i="5"/>
  <c r="N112" i="5"/>
  <c r="J112" i="5"/>
  <c r="K112" i="5"/>
  <c r="O112" i="5"/>
  <c r="M116" i="5"/>
  <c r="I116" i="5"/>
  <c r="L116" i="5"/>
  <c r="N116" i="5"/>
  <c r="K116" i="5"/>
  <c r="J116" i="5"/>
  <c r="O116" i="5"/>
  <c r="M120" i="5"/>
  <c r="I120" i="5"/>
  <c r="L120" i="5"/>
  <c r="N120" i="5"/>
  <c r="J120" i="5"/>
  <c r="K120" i="5"/>
  <c r="O120" i="5"/>
  <c r="N124" i="5"/>
  <c r="M124" i="5"/>
  <c r="I124" i="5"/>
  <c r="L124" i="5"/>
  <c r="K124" i="5"/>
  <c r="J124" i="5"/>
  <c r="O124" i="5"/>
  <c r="N128" i="5"/>
  <c r="J128" i="5"/>
  <c r="K128" i="5"/>
  <c r="I128" i="5"/>
  <c r="M128" i="5"/>
  <c r="L128" i="5"/>
  <c r="O128" i="5"/>
  <c r="N135" i="5"/>
  <c r="J135" i="5"/>
  <c r="K135" i="5"/>
  <c r="I135" i="5"/>
  <c r="M135" i="5"/>
  <c r="L135" i="5"/>
  <c r="O135" i="5"/>
  <c r="N139" i="5"/>
  <c r="J139" i="5"/>
  <c r="M139" i="5"/>
  <c r="L139" i="5"/>
  <c r="K139" i="5"/>
  <c r="I139" i="5"/>
  <c r="O139" i="5"/>
  <c r="N141" i="5"/>
  <c r="J141" i="5"/>
  <c r="K141" i="5"/>
  <c r="I141" i="5"/>
  <c r="M141" i="5"/>
  <c r="L141" i="5"/>
  <c r="O141" i="5"/>
  <c r="N145" i="5"/>
  <c r="J145" i="5"/>
  <c r="M145" i="5"/>
  <c r="L145" i="5"/>
  <c r="K145" i="5"/>
  <c r="I145" i="5"/>
  <c r="O145" i="5"/>
  <c r="N149" i="5"/>
  <c r="J149" i="5"/>
  <c r="K149" i="5"/>
  <c r="I149" i="5"/>
  <c r="M149" i="5"/>
  <c r="L149" i="5"/>
  <c r="O149" i="5"/>
  <c r="N153" i="5"/>
  <c r="J153" i="5"/>
  <c r="M153" i="5"/>
  <c r="L153" i="5"/>
  <c r="K153" i="5"/>
  <c r="I153" i="5"/>
  <c r="O153" i="5"/>
  <c r="N158" i="5"/>
  <c r="J158" i="5"/>
  <c r="K158" i="5"/>
  <c r="I158" i="5"/>
  <c r="M158" i="5"/>
  <c r="L158" i="5"/>
  <c r="O158" i="5"/>
  <c r="N162" i="5"/>
  <c r="J162" i="5"/>
  <c r="M162" i="5"/>
  <c r="L162" i="5"/>
  <c r="K162" i="5"/>
  <c r="I162" i="5"/>
  <c r="O162" i="5"/>
  <c r="N166" i="5"/>
  <c r="J166" i="5"/>
  <c r="K166" i="5"/>
  <c r="I166" i="5"/>
  <c r="M166" i="5"/>
  <c r="L166" i="5"/>
  <c r="O166" i="5"/>
  <c r="N171" i="5"/>
  <c r="J171" i="5"/>
  <c r="M171" i="5"/>
  <c r="L171" i="5"/>
  <c r="K171" i="5"/>
  <c r="I171" i="5"/>
  <c r="O171" i="5"/>
  <c r="N175" i="5"/>
  <c r="J175" i="5"/>
  <c r="K175" i="5"/>
  <c r="I175" i="5"/>
  <c r="M175" i="5"/>
  <c r="L175" i="5"/>
  <c r="O175" i="5"/>
  <c r="N179" i="5"/>
  <c r="J179" i="5"/>
  <c r="M179" i="5"/>
  <c r="L179" i="5"/>
  <c r="K179" i="5"/>
  <c r="I179" i="5"/>
  <c r="O179" i="5"/>
  <c r="O7" i="5"/>
  <c r="M11" i="5"/>
  <c r="I11" i="5"/>
  <c r="L11" i="5"/>
  <c r="N11" i="5"/>
  <c r="J11" i="5"/>
  <c r="K11" i="5"/>
  <c r="O11" i="5"/>
  <c r="K21" i="5"/>
  <c r="N21" i="5"/>
  <c r="J21" i="5"/>
  <c r="L21" i="5"/>
  <c r="I21" i="5"/>
  <c r="M21" i="5"/>
  <c r="O21" i="5"/>
  <c r="K33" i="5"/>
  <c r="N33" i="5"/>
  <c r="J33" i="5"/>
  <c r="M33" i="5"/>
  <c r="L33" i="5"/>
  <c r="I33" i="5"/>
  <c r="O33" i="5"/>
  <c r="K29" i="5"/>
  <c r="N29" i="5"/>
  <c r="J29" i="5"/>
  <c r="L29" i="5"/>
  <c r="I29" i="5"/>
  <c r="M29" i="5"/>
  <c r="O29" i="5"/>
  <c r="K45" i="5"/>
  <c r="N45" i="5"/>
  <c r="J45" i="5"/>
  <c r="M45" i="5"/>
  <c r="L45" i="5"/>
  <c r="I45" i="5"/>
  <c r="O45" i="5"/>
  <c r="K49" i="5"/>
  <c r="N49" i="5"/>
  <c r="J49" i="5"/>
  <c r="L49" i="5"/>
  <c r="I49" i="5"/>
  <c r="M49" i="5"/>
  <c r="O49" i="5"/>
  <c r="K53" i="5"/>
  <c r="L53" i="5"/>
  <c r="J53" i="5"/>
  <c r="M53" i="5"/>
  <c r="I53" i="5"/>
  <c r="N53" i="5"/>
  <c r="O53" i="5"/>
  <c r="K57" i="5"/>
  <c r="N57" i="5"/>
  <c r="I57" i="5"/>
  <c r="M57" i="5"/>
  <c r="J57" i="5"/>
  <c r="L57" i="5"/>
  <c r="O57" i="5"/>
  <c r="K64" i="5"/>
  <c r="L64" i="5"/>
  <c r="J64" i="5"/>
  <c r="N64" i="5"/>
  <c r="M64" i="5"/>
  <c r="I64" i="5"/>
  <c r="O64" i="5"/>
  <c r="K73" i="5"/>
  <c r="N73" i="5"/>
  <c r="I73" i="5"/>
  <c r="M73" i="5"/>
  <c r="L73" i="5"/>
  <c r="J73" i="5"/>
  <c r="O73" i="5"/>
  <c r="K74" i="5"/>
  <c r="L74" i="5"/>
  <c r="J74" i="5"/>
  <c r="M74" i="5"/>
  <c r="N74" i="5"/>
  <c r="I74" i="5"/>
  <c r="O74" i="5"/>
  <c r="K82" i="5"/>
  <c r="N82" i="5"/>
  <c r="I82" i="5"/>
  <c r="M82" i="5"/>
  <c r="J82" i="5"/>
  <c r="L82" i="5"/>
  <c r="O82" i="5"/>
  <c r="K86" i="5"/>
  <c r="L86" i="5"/>
  <c r="J86" i="5"/>
  <c r="M86" i="5"/>
  <c r="I86" i="5"/>
  <c r="N86" i="5"/>
  <c r="O86" i="5"/>
  <c r="K90" i="5"/>
  <c r="N90" i="5"/>
  <c r="I90" i="5"/>
  <c r="M90" i="5"/>
  <c r="J90" i="5"/>
  <c r="L90" i="5"/>
  <c r="O90" i="5"/>
  <c r="K94" i="5"/>
  <c r="L94" i="5"/>
  <c r="J94" i="5"/>
  <c r="M94" i="5"/>
  <c r="I94" i="5"/>
  <c r="N94" i="5"/>
  <c r="O94" i="5"/>
  <c r="K98" i="5"/>
  <c r="N98" i="5"/>
  <c r="I98" i="5"/>
  <c r="M98" i="5"/>
  <c r="J98" i="5"/>
  <c r="L98" i="5"/>
  <c r="O98" i="5"/>
  <c r="K102" i="5"/>
  <c r="L102" i="5"/>
  <c r="J102" i="5"/>
  <c r="N102" i="5"/>
  <c r="M102" i="5"/>
  <c r="I102" i="5"/>
  <c r="O102" i="5"/>
  <c r="K106" i="5"/>
  <c r="N106" i="5"/>
  <c r="I106" i="5"/>
  <c r="M106" i="5"/>
  <c r="L106" i="5"/>
  <c r="J106" i="5"/>
  <c r="O106" i="5"/>
  <c r="K109" i="5"/>
  <c r="L109" i="5"/>
  <c r="J109" i="5"/>
  <c r="M109" i="5"/>
  <c r="N109" i="5"/>
  <c r="I109" i="5"/>
  <c r="O109" i="5"/>
  <c r="K113" i="5"/>
  <c r="N113" i="5"/>
  <c r="J113" i="5"/>
  <c r="I113" i="5"/>
  <c r="M113" i="5"/>
  <c r="L113" i="5"/>
  <c r="O113" i="5"/>
  <c r="K117" i="5"/>
  <c r="N117" i="5"/>
  <c r="J117" i="5"/>
  <c r="I117" i="5"/>
  <c r="L117" i="5"/>
  <c r="M117" i="5"/>
  <c r="O117" i="5"/>
  <c r="K121" i="5"/>
  <c r="N121" i="5"/>
  <c r="J121" i="5"/>
  <c r="I121" i="5"/>
  <c r="M121" i="5"/>
  <c r="L121" i="5"/>
  <c r="O121" i="5"/>
  <c r="L125" i="5"/>
  <c r="M125" i="5"/>
  <c r="K125" i="5"/>
  <c r="J125" i="5"/>
  <c r="I125" i="5"/>
  <c r="N125" i="5"/>
  <c r="O125" i="5"/>
  <c r="L129" i="5"/>
  <c r="J129" i="5"/>
  <c r="N129" i="5"/>
  <c r="I129" i="5"/>
  <c r="M129" i="5"/>
  <c r="K129" i="5"/>
  <c r="O129" i="5"/>
  <c r="L136" i="5"/>
  <c r="J136" i="5"/>
  <c r="N136" i="5"/>
  <c r="I136" i="5"/>
  <c r="M136" i="5"/>
  <c r="K136" i="5"/>
  <c r="O136" i="5"/>
  <c r="L140" i="5"/>
  <c r="M140" i="5"/>
  <c r="K140" i="5"/>
  <c r="J140" i="5"/>
  <c r="I140" i="5"/>
  <c r="N140" i="5"/>
  <c r="O140" i="5"/>
  <c r="L142" i="5"/>
  <c r="J142" i="5"/>
  <c r="N142" i="5"/>
  <c r="I142" i="5"/>
  <c r="M142" i="5"/>
  <c r="K142" i="5"/>
  <c r="O142" i="5"/>
  <c r="L146" i="5"/>
  <c r="M146" i="5"/>
  <c r="K146" i="5"/>
  <c r="N146" i="5"/>
  <c r="J146" i="5"/>
  <c r="I146" i="5"/>
  <c r="O146" i="5"/>
  <c r="L150" i="5"/>
  <c r="J150" i="5"/>
  <c r="N150" i="5"/>
  <c r="I150" i="5"/>
  <c r="M150" i="5"/>
  <c r="K150" i="5"/>
  <c r="O150" i="5"/>
  <c r="L154" i="5"/>
  <c r="M154" i="5"/>
  <c r="K154" i="5"/>
  <c r="J154" i="5"/>
  <c r="I154" i="5"/>
  <c r="N154" i="5"/>
  <c r="O154" i="5"/>
  <c r="L159" i="5"/>
  <c r="J159" i="5"/>
  <c r="N159" i="5"/>
  <c r="I159" i="5"/>
  <c r="M159" i="5"/>
  <c r="K159" i="5"/>
  <c r="O159" i="5"/>
  <c r="L163" i="5"/>
  <c r="M163" i="5"/>
  <c r="K163" i="5"/>
  <c r="J163" i="5"/>
  <c r="N163" i="5"/>
  <c r="I163" i="5"/>
  <c r="O163" i="5"/>
  <c r="L167" i="5"/>
  <c r="J167" i="5"/>
  <c r="N167" i="5"/>
  <c r="I167" i="5"/>
  <c r="M167" i="5"/>
  <c r="K167" i="5"/>
  <c r="O167" i="5"/>
  <c r="L172" i="5"/>
  <c r="M172" i="5"/>
  <c r="K172" i="5"/>
  <c r="J172" i="5"/>
  <c r="I172" i="5"/>
  <c r="N172" i="5"/>
  <c r="O172" i="5"/>
  <c r="L176" i="5"/>
  <c r="J176" i="5"/>
  <c r="N176" i="5"/>
  <c r="I176" i="5"/>
  <c r="M176" i="5"/>
  <c r="K176" i="5"/>
  <c r="O176" i="5"/>
  <c r="O17" i="5"/>
  <c r="K22" i="5"/>
  <c r="N22" i="5"/>
  <c r="J22" i="5"/>
  <c r="L22" i="5"/>
  <c r="M22" i="5"/>
  <c r="I22" i="5"/>
  <c r="O22" i="5"/>
  <c r="M15" i="5"/>
  <c r="I15" i="5"/>
  <c r="L15" i="5"/>
  <c r="J15" i="5"/>
  <c r="N15" i="5"/>
  <c r="K15" i="5"/>
  <c r="O15" i="5"/>
  <c r="M23" i="5"/>
  <c r="I23" i="5"/>
  <c r="L23" i="5"/>
  <c r="J23" i="5"/>
  <c r="N23" i="5"/>
  <c r="K23" i="5"/>
  <c r="O23" i="5"/>
  <c r="M36" i="5"/>
  <c r="I36" i="5"/>
  <c r="L36" i="5"/>
  <c r="J36" i="5"/>
  <c r="N36" i="5"/>
  <c r="K36" i="5"/>
  <c r="O36" i="5"/>
  <c r="M40" i="5"/>
  <c r="I40" i="5"/>
  <c r="L40" i="5"/>
  <c r="J40" i="5"/>
  <c r="N40" i="5"/>
  <c r="K40" i="5"/>
  <c r="O40" i="5"/>
  <c r="M46" i="5"/>
  <c r="I46" i="5"/>
  <c r="L46" i="5"/>
  <c r="J46" i="5"/>
  <c r="N46" i="5"/>
  <c r="K46" i="5"/>
  <c r="O46" i="5"/>
  <c r="M50" i="5"/>
  <c r="N50" i="5"/>
  <c r="I50" i="5"/>
  <c r="L50" i="5"/>
  <c r="J50" i="5"/>
  <c r="K50" i="5"/>
  <c r="O50" i="5"/>
  <c r="M63" i="5"/>
  <c r="I63" i="5"/>
  <c r="N63" i="5"/>
  <c r="L63" i="5"/>
  <c r="K63" i="5"/>
  <c r="J63" i="5"/>
  <c r="O63" i="5"/>
  <c r="M65" i="5"/>
  <c r="I65" i="5"/>
  <c r="K65" i="5"/>
  <c r="J65" i="5"/>
  <c r="L65" i="5"/>
  <c r="N65" i="5"/>
  <c r="O65" i="5"/>
  <c r="M76" i="5"/>
  <c r="I76" i="5"/>
  <c r="N76" i="5"/>
  <c r="L76" i="5"/>
  <c r="J76" i="5"/>
  <c r="K76" i="5"/>
  <c r="O76" i="5"/>
  <c r="M79" i="5"/>
  <c r="I79" i="5"/>
  <c r="K79" i="5"/>
  <c r="J79" i="5"/>
  <c r="L79" i="5"/>
  <c r="N79" i="5"/>
  <c r="O79" i="5"/>
  <c r="M83" i="5"/>
  <c r="I83" i="5"/>
  <c r="N83" i="5"/>
  <c r="L83" i="5"/>
  <c r="J83" i="5"/>
  <c r="K83" i="5"/>
  <c r="O83" i="5"/>
  <c r="M87" i="5"/>
  <c r="I87" i="5"/>
  <c r="K87" i="5"/>
  <c r="J87" i="5"/>
  <c r="L87" i="5"/>
  <c r="N87" i="5"/>
  <c r="O87" i="5"/>
  <c r="M91" i="5"/>
  <c r="I91" i="5"/>
  <c r="N91" i="5"/>
  <c r="L91" i="5"/>
  <c r="J91" i="5"/>
  <c r="K91" i="5"/>
  <c r="O91" i="5"/>
  <c r="M95" i="5"/>
  <c r="I95" i="5"/>
  <c r="K95" i="5"/>
  <c r="J95" i="5"/>
  <c r="N95" i="5"/>
  <c r="L95" i="5"/>
  <c r="O95" i="5"/>
  <c r="M99" i="5"/>
  <c r="I99" i="5"/>
  <c r="N99" i="5"/>
  <c r="L99" i="5"/>
  <c r="K99" i="5"/>
  <c r="J99" i="5"/>
  <c r="O99" i="5"/>
  <c r="M103" i="5"/>
  <c r="I103" i="5"/>
  <c r="K103" i="5"/>
  <c r="J103" i="5"/>
  <c r="L103" i="5"/>
  <c r="N103" i="5"/>
  <c r="O103" i="5"/>
  <c r="M107" i="5"/>
  <c r="I107" i="5"/>
  <c r="N107" i="5"/>
  <c r="L107" i="5"/>
  <c r="J107" i="5"/>
  <c r="K107" i="5"/>
  <c r="O107" i="5"/>
  <c r="M110" i="5"/>
  <c r="I110" i="5"/>
  <c r="L110" i="5"/>
  <c r="K110" i="5"/>
  <c r="J110" i="5"/>
  <c r="N110" i="5"/>
  <c r="O110" i="5"/>
  <c r="M114" i="5"/>
  <c r="I114" i="5"/>
  <c r="L114" i="5"/>
  <c r="K114" i="5"/>
  <c r="J114" i="5"/>
  <c r="N114" i="5"/>
  <c r="O114" i="5"/>
  <c r="M118" i="5"/>
  <c r="I118" i="5"/>
  <c r="L118" i="5"/>
  <c r="K118" i="5"/>
  <c r="J118" i="5"/>
  <c r="N118" i="5"/>
  <c r="O118" i="5"/>
  <c r="M122" i="5"/>
  <c r="I122" i="5"/>
  <c r="L122" i="5"/>
  <c r="K122" i="5"/>
  <c r="J122" i="5"/>
  <c r="N122" i="5"/>
  <c r="O122" i="5"/>
  <c r="N126" i="5"/>
  <c r="J126" i="5"/>
  <c r="L126" i="5"/>
  <c r="K126" i="5"/>
  <c r="M126" i="5"/>
  <c r="I126" i="5"/>
  <c r="O126" i="5"/>
  <c r="N130" i="5"/>
  <c r="J130" i="5"/>
  <c r="I130" i="5"/>
  <c r="M130" i="5"/>
  <c r="L130" i="5"/>
  <c r="K130" i="5"/>
  <c r="O130" i="5"/>
  <c r="N137" i="5"/>
  <c r="J137" i="5"/>
  <c r="I137" i="5"/>
  <c r="M137" i="5"/>
  <c r="L137" i="5"/>
  <c r="K137" i="5"/>
  <c r="O137" i="5"/>
  <c r="N5" i="5"/>
  <c r="J5" i="5"/>
  <c r="L5" i="5"/>
  <c r="K5" i="5"/>
  <c r="M5" i="5"/>
  <c r="I5" i="5"/>
  <c r="O5" i="5"/>
  <c r="N143" i="5"/>
  <c r="J143" i="5"/>
  <c r="I143" i="5"/>
  <c r="M143" i="5"/>
  <c r="L143" i="5"/>
  <c r="K143" i="5"/>
  <c r="O143" i="5"/>
  <c r="N147" i="5"/>
  <c r="J147" i="5"/>
  <c r="L147" i="5"/>
  <c r="K147" i="5"/>
  <c r="I147" i="5"/>
  <c r="M147" i="5"/>
  <c r="O147" i="5"/>
  <c r="N151" i="5"/>
  <c r="J151" i="5"/>
  <c r="I151" i="5"/>
  <c r="M151" i="5"/>
  <c r="L151" i="5"/>
  <c r="K151" i="5"/>
  <c r="O151" i="5"/>
  <c r="N156" i="5"/>
  <c r="J156" i="5"/>
  <c r="L156" i="5"/>
  <c r="K156" i="5"/>
  <c r="M156" i="5"/>
  <c r="I156" i="5"/>
  <c r="O156" i="5"/>
  <c r="N160" i="5"/>
  <c r="J160" i="5"/>
  <c r="I160" i="5"/>
  <c r="M160" i="5"/>
  <c r="L160" i="5"/>
  <c r="K160" i="5"/>
  <c r="O160" i="5"/>
  <c r="N164" i="5"/>
  <c r="J164" i="5"/>
  <c r="L164" i="5"/>
  <c r="K164" i="5"/>
  <c r="I164" i="5"/>
  <c r="M164" i="5"/>
  <c r="O164" i="5"/>
  <c r="N168" i="5"/>
  <c r="J168" i="5"/>
  <c r="I168" i="5"/>
  <c r="M168" i="5"/>
  <c r="L168" i="5"/>
  <c r="K168" i="5"/>
  <c r="O168" i="5"/>
  <c r="N173" i="5"/>
  <c r="J173" i="5"/>
  <c r="L173" i="5"/>
  <c r="K173" i="5"/>
  <c r="M173" i="5"/>
  <c r="I173" i="5"/>
  <c r="O173" i="5"/>
  <c r="N177" i="5"/>
  <c r="J177" i="5"/>
  <c r="I177" i="5"/>
  <c r="M177" i="5"/>
  <c r="L177" i="5"/>
  <c r="K177" i="5"/>
  <c r="O177" i="5"/>
  <c r="B223" i="5"/>
  <c r="D223" i="5" s="1"/>
  <c r="O223" i="5" s="1"/>
  <c r="B226" i="5"/>
  <c r="D226" i="5" s="1"/>
  <c r="B227" i="5"/>
  <c r="B225" i="5"/>
  <c r="H181" i="5"/>
  <c r="H182" i="5" s="1"/>
  <c r="H186" i="5"/>
  <c r="E134" i="4" s="1"/>
  <c r="F134" i="4" s="1"/>
  <c r="B228" i="5"/>
  <c r="H102" i="4"/>
  <c r="H103" i="4"/>
  <c r="K103" i="4"/>
  <c r="K102" i="4"/>
  <c r="F103" i="4"/>
  <c r="F102" i="4"/>
  <c r="G103" i="4"/>
  <c r="G102" i="4"/>
  <c r="L103" i="4"/>
  <c r="L102" i="4"/>
  <c r="J159" i="4"/>
  <c r="J160" i="4" s="1"/>
  <c r="E46" i="4"/>
  <c r="H157" i="4"/>
  <c r="F155" i="4"/>
  <c r="H155" i="4"/>
  <c r="L155" i="4"/>
  <c r="L156" i="4"/>
  <c r="L154" i="4"/>
  <c r="K155" i="4"/>
  <c r="K154" i="4"/>
  <c r="I155" i="4"/>
  <c r="C23" i="4"/>
  <c r="H158" i="4"/>
  <c r="K158" i="4"/>
  <c r="F158" i="4"/>
  <c r="L158" i="4"/>
  <c r="I158" i="4"/>
  <c r="I154" i="4"/>
  <c r="F154" i="4"/>
  <c r="H154" i="4"/>
  <c r="H191" i="5"/>
  <c r="E139" i="4" s="1"/>
  <c r="F139" i="4" s="1"/>
  <c r="E47" i="4"/>
  <c r="H193" i="5"/>
  <c r="H188" i="5"/>
  <c r="E136" i="4" s="1"/>
  <c r="F136" i="4" s="1"/>
  <c r="H192" i="5"/>
  <c r="E140" i="4" s="1"/>
  <c r="G140" i="4" s="1"/>
  <c r="G142" i="4" s="1"/>
  <c r="F127" i="4" s="1"/>
  <c r="L127" i="4" s="1"/>
  <c r="H190" i="5"/>
  <c r="E138" i="4" s="1"/>
  <c r="F138" i="4" s="1"/>
  <c r="H187" i="5"/>
  <c r="E135" i="4" s="1"/>
  <c r="F135" i="4" s="1"/>
  <c r="H189" i="5"/>
  <c r="E137" i="4" s="1"/>
  <c r="F137" i="4" s="1"/>
  <c r="K156" i="4"/>
  <c r="I156" i="4"/>
  <c r="H156" i="4"/>
  <c r="F156" i="4"/>
  <c r="I157" i="4"/>
  <c r="K157" i="4"/>
  <c r="F157" i="4"/>
  <c r="L157" i="4"/>
  <c r="F193" i="5" l="1"/>
  <c r="E141" i="4"/>
  <c r="F141" i="4" s="1"/>
  <c r="F142" i="4" s="1"/>
  <c r="F126" i="4" s="1"/>
  <c r="C120" i="6"/>
  <c r="J161" i="4"/>
  <c r="F48" i="4"/>
  <c r="C83" i="4"/>
  <c r="F191" i="5"/>
  <c r="C81" i="4"/>
  <c r="F189" i="5"/>
  <c r="C192" i="5"/>
  <c r="F192" i="5"/>
  <c r="C80" i="4"/>
  <c r="F188" i="5"/>
  <c r="C79" i="4"/>
  <c r="F187" i="5"/>
  <c r="C78" i="4"/>
  <c r="F186" i="5"/>
  <c r="C82" i="4"/>
  <c r="F190" i="5"/>
  <c r="K192" i="5"/>
  <c r="I192" i="5"/>
  <c r="O192" i="5"/>
  <c r="L192" i="5"/>
  <c r="N192" i="5"/>
  <c r="J192" i="5"/>
  <c r="M192" i="5"/>
  <c r="N189" i="5"/>
  <c r="M189" i="5"/>
  <c r="L190" i="5"/>
  <c r="M191" i="5"/>
  <c r="N191" i="5"/>
  <c r="L186" i="5"/>
  <c r="K186" i="5"/>
  <c r="O187" i="5"/>
  <c r="J187" i="5"/>
  <c r="J189" i="5"/>
  <c r="O190" i="5"/>
  <c r="J190" i="5"/>
  <c r="I191" i="5"/>
  <c r="K191" i="5"/>
  <c r="M186" i="5"/>
  <c r="I187" i="5"/>
  <c r="N187" i="5"/>
  <c r="O189" i="5"/>
  <c r="L189" i="5"/>
  <c r="M190" i="5"/>
  <c r="N190" i="5"/>
  <c r="L191" i="5"/>
  <c r="O186" i="5"/>
  <c r="J186" i="5"/>
  <c r="M187" i="5"/>
  <c r="K187" i="5"/>
  <c r="K189" i="5"/>
  <c r="I189" i="5"/>
  <c r="I190" i="5"/>
  <c r="K190" i="5"/>
  <c r="O191" i="5"/>
  <c r="J191" i="5"/>
  <c r="I186" i="5"/>
  <c r="N186" i="5"/>
  <c r="L187" i="5"/>
  <c r="C94" i="4"/>
  <c r="C191" i="5"/>
  <c r="C91" i="4"/>
  <c r="C188" i="5"/>
  <c r="C90" i="4"/>
  <c r="C187" i="5"/>
  <c r="C92" i="4"/>
  <c r="C189" i="5"/>
  <c r="C93" i="4"/>
  <c r="C190" i="5"/>
  <c r="C89" i="4"/>
  <c r="C186" i="5"/>
  <c r="F24" i="4"/>
  <c r="C56" i="6" s="1"/>
  <c r="J24" i="4"/>
  <c r="C116" i="6" s="1"/>
  <c r="I26" i="4"/>
  <c r="H26" i="4"/>
  <c r="L26" i="4"/>
  <c r="G26" i="4"/>
  <c r="F26" i="4"/>
  <c r="J26" i="4"/>
  <c r="K26" i="4"/>
  <c r="O8" i="5"/>
  <c r="P181" i="5"/>
  <c r="L223" i="5"/>
  <c r="M223" i="5"/>
  <c r="D225" i="5"/>
  <c r="O225" i="5" s="1"/>
  <c r="M226" i="5"/>
  <c r="K223" i="5"/>
  <c r="N223" i="5"/>
  <c r="D228" i="5"/>
  <c r="N228" i="5" s="1"/>
  <c r="J223" i="5"/>
  <c r="D227" i="5"/>
  <c r="I227" i="5" s="1"/>
  <c r="D224" i="5"/>
  <c r="I223" i="5"/>
  <c r="B229" i="5"/>
  <c r="D155" i="1"/>
  <c r="K155" i="1" s="1"/>
  <c r="C35" i="6" s="1"/>
  <c r="D64" i="4"/>
  <c r="I64" i="4" s="1"/>
  <c r="D66" i="4"/>
  <c r="I66" i="4" s="1"/>
  <c r="M203" i="5"/>
  <c r="L203" i="5"/>
  <c r="N203" i="5"/>
  <c r="J48" i="4"/>
  <c r="K203" i="5"/>
  <c r="J203" i="5"/>
  <c r="I203" i="5"/>
  <c r="O203" i="5"/>
  <c r="Q203" i="5" s="1"/>
  <c r="H48" i="4"/>
  <c r="K48" i="4"/>
  <c r="G48" i="4"/>
  <c r="L48" i="4"/>
  <c r="I48" i="4"/>
  <c r="C23" i="6"/>
  <c r="D68" i="4"/>
  <c r="C25" i="6"/>
  <c r="D70" i="4"/>
  <c r="C26" i="6"/>
  <c r="D71" i="4"/>
  <c r="C20" i="6"/>
  <c r="D65" i="4"/>
  <c r="C24" i="6"/>
  <c r="D69" i="4"/>
  <c r="C22" i="6"/>
  <c r="D67" i="4"/>
  <c r="G24" i="4"/>
  <c r="C68" i="6" s="1"/>
  <c r="I24" i="4"/>
  <c r="C104" i="6" s="1"/>
  <c r="H24" i="4"/>
  <c r="C80" i="6" s="1"/>
  <c r="L24" i="4"/>
  <c r="C128" i="6" s="1"/>
  <c r="K24" i="4"/>
  <c r="C92" i="6" s="1"/>
  <c r="L159" i="4"/>
  <c r="L160" i="4" s="1"/>
  <c r="H159" i="4"/>
  <c r="H160" i="4" s="1"/>
  <c r="I159" i="4"/>
  <c r="F159" i="4"/>
  <c r="C19" i="6"/>
  <c r="D38" i="4"/>
  <c r="H194" i="5"/>
  <c r="D36" i="4"/>
  <c r="G159" i="4"/>
  <c r="G160" i="4" s="1"/>
  <c r="C21" i="6"/>
  <c r="D37" i="4"/>
  <c r="D35" i="4"/>
  <c r="K159" i="4"/>
  <c r="K160" i="4" s="1"/>
  <c r="L126" i="4" l="1"/>
  <c r="G128" i="4"/>
  <c r="C116" i="4"/>
  <c r="C103" i="4"/>
  <c r="C113" i="4"/>
  <c r="C100" i="4"/>
  <c r="C117" i="4"/>
  <c r="C104" i="4"/>
  <c r="C112" i="4"/>
  <c r="F95" i="4"/>
  <c r="C58" i="6" s="1"/>
  <c r="C99" i="4"/>
  <c r="C115" i="4"/>
  <c r="C102" i="4"/>
  <c r="C114" i="4"/>
  <c r="C101" i="4"/>
  <c r="O166" i="9"/>
  <c r="M166" i="9"/>
  <c r="K166" i="9"/>
  <c r="P166" i="9"/>
  <c r="N166" i="9"/>
  <c r="L166" i="9"/>
  <c r="P168" i="9"/>
  <c r="V12" i="5" s="1"/>
  <c r="M12" i="5" s="1"/>
  <c r="N168" i="9"/>
  <c r="T12" i="5" s="1"/>
  <c r="K12" i="5" s="1"/>
  <c r="L168" i="9"/>
  <c r="R12" i="5" s="1"/>
  <c r="I12" i="5" s="1"/>
  <c r="O168" i="9"/>
  <c r="U12" i="5" s="1"/>
  <c r="L12" i="5" s="1"/>
  <c r="M168" i="9"/>
  <c r="S12" i="5" s="1"/>
  <c r="J12" i="5" s="1"/>
  <c r="K168" i="9"/>
  <c r="Q12" i="5" s="1"/>
  <c r="M167" i="9"/>
  <c r="O167" i="9"/>
  <c r="P167" i="9"/>
  <c r="K167" i="9"/>
  <c r="L167" i="9"/>
  <c r="N167" i="9"/>
  <c r="O164" i="9"/>
  <c r="U61" i="5" s="1"/>
  <c r="L61" i="5" s="1"/>
  <c r="M164" i="9"/>
  <c r="S61" i="5" s="1"/>
  <c r="J61" i="5" s="1"/>
  <c r="K164" i="9"/>
  <c r="Q61" i="5" s="1"/>
  <c r="P164" i="9"/>
  <c r="V61" i="5" s="1"/>
  <c r="M61" i="5" s="1"/>
  <c r="N164" i="9"/>
  <c r="T61" i="5" s="1"/>
  <c r="K61" i="5" s="1"/>
  <c r="L164" i="9"/>
  <c r="R61" i="5" s="1"/>
  <c r="I61" i="5" s="1"/>
  <c r="M165" i="9"/>
  <c r="O165" i="9"/>
  <c r="P165" i="9"/>
  <c r="K165" i="9"/>
  <c r="L165" i="9"/>
  <c r="N165" i="9"/>
  <c r="I160" i="4"/>
  <c r="C71" i="6"/>
  <c r="C96" i="6"/>
  <c r="K161" i="4"/>
  <c r="C132" i="6"/>
  <c r="L161" i="4"/>
  <c r="C84" i="6"/>
  <c r="H161" i="4"/>
  <c r="C72" i="6"/>
  <c r="G161" i="4"/>
  <c r="F194" i="5"/>
  <c r="E194" i="5" s="1"/>
  <c r="J39" i="4"/>
  <c r="I84" i="4"/>
  <c r="C102" i="6" s="1"/>
  <c r="C84" i="4"/>
  <c r="C194" i="5"/>
  <c r="D108" i="4"/>
  <c r="C195" i="5" s="1"/>
  <c r="K64" i="4"/>
  <c r="M227" i="5"/>
  <c r="N227" i="5"/>
  <c r="H64" i="4"/>
  <c r="N225" i="5"/>
  <c r="J227" i="5"/>
  <c r="I228" i="5"/>
  <c r="L227" i="5"/>
  <c r="O227" i="5"/>
  <c r="K228" i="5"/>
  <c r="D229" i="5"/>
  <c r="L226" i="5"/>
  <c r="N226" i="5"/>
  <c r="I226" i="5"/>
  <c r="I224" i="5"/>
  <c r="K224" i="5"/>
  <c r="O224" i="5"/>
  <c r="J224" i="5"/>
  <c r="L228" i="5"/>
  <c r="O226" i="5"/>
  <c r="I225" i="5"/>
  <c r="L224" i="5"/>
  <c r="N224" i="5"/>
  <c r="M228" i="5"/>
  <c r="J226" i="5"/>
  <c r="M224" i="5"/>
  <c r="M225" i="5"/>
  <c r="J228" i="5"/>
  <c r="L225" i="5"/>
  <c r="J225" i="5"/>
  <c r="K227" i="5"/>
  <c r="O228" i="5"/>
  <c r="K226" i="5"/>
  <c r="K225" i="5"/>
  <c r="B230" i="5"/>
  <c r="F160" i="4"/>
  <c r="L64" i="4"/>
  <c r="G64" i="4"/>
  <c r="F64" i="4"/>
  <c r="K66" i="4"/>
  <c r="H66" i="4"/>
  <c r="L66" i="4"/>
  <c r="G66" i="4"/>
  <c r="L95" i="4"/>
  <c r="C130" i="6" s="1"/>
  <c r="J95" i="4"/>
  <c r="C118" i="6" s="1"/>
  <c r="I95" i="4"/>
  <c r="C106" i="6" s="1"/>
  <c r="E95" i="4"/>
  <c r="K95" i="4"/>
  <c r="C94" i="6" s="1"/>
  <c r="H95" i="4"/>
  <c r="C82" i="6" s="1"/>
  <c r="G95" i="4"/>
  <c r="C70" i="6" s="1"/>
  <c r="C95" i="4"/>
  <c r="F66" i="4"/>
  <c r="I70" i="4"/>
  <c r="G70" i="4"/>
  <c r="L70" i="4"/>
  <c r="K70" i="4"/>
  <c r="H70" i="4"/>
  <c r="F70" i="4"/>
  <c r="L67" i="4"/>
  <c r="H67" i="4"/>
  <c r="F67" i="4"/>
  <c r="I67" i="4"/>
  <c r="G67" i="4"/>
  <c r="K67" i="4"/>
  <c r="L71" i="4"/>
  <c r="H71" i="4"/>
  <c r="J71" i="4"/>
  <c r="G71" i="4"/>
  <c r="I71" i="4"/>
  <c r="F71" i="4"/>
  <c r="K71" i="4"/>
  <c r="K68" i="4"/>
  <c r="F68" i="4"/>
  <c r="I68" i="4"/>
  <c r="L68" i="4"/>
  <c r="H68" i="4"/>
  <c r="G68" i="4"/>
  <c r="J68" i="4"/>
  <c r="J65" i="4" s="1"/>
  <c r="C27" i="6"/>
  <c r="D72" i="4"/>
  <c r="H65" i="4"/>
  <c r="F65" i="4"/>
  <c r="K65" i="4"/>
  <c r="I65" i="4"/>
  <c r="L65" i="4"/>
  <c r="G65" i="4"/>
  <c r="H69" i="4"/>
  <c r="F69" i="4"/>
  <c r="J69" i="4"/>
  <c r="J66" i="4" s="1"/>
  <c r="I69" i="4"/>
  <c r="G69" i="4"/>
  <c r="K69" i="4"/>
  <c r="L69" i="4"/>
  <c r="F39" i="4"/>
  <c r="K39" i="4"/>
  <c r="G39" i="4"/>
  <c r="L39" i="4"/>
  <c r="H39" i="4"/>
  <c r="I39" i="4"/>
  <c r="L128" i="4" l="1"/>
  <c r="L130" i="4"/>
  <c r="C146" i="6" s="1"/>
  <c r="J118" i="4"/>
  <c r="J119" i="4" s="1"/>
  <c r="D121" i="4"/>
  <c r="C34" i="6" s="1"/>
  <c r="L118" i="4"/>
  <c r="L119" i="4" s="1"/>
  <c r="L120" i="4" s="1"/>
  <c r="I118" i="4"/>
  <c r="I119" i="4" s="1"/>
  <c r="G118" i="4"/>
  <c r="G119" i="4" s="1"/>
  <c r="H118" i="4"/>
  <c r="H119" i="4" s="1"/>
  <c r="H120" i="4" s="1"/>
  <c r="K118" i="4"/>
  <c r="K119" i="4" s="1"/>
  <c r="F118" i="4"/>
  <c r="F119" i="4" s="1"/>
  <c r="J105" i="4"/>
  <c r="J106" i="4" s="1"/>
  <c r="J107" i="4" s="1"/>
  <c r="I105" i="4"/>
  <c r="I106" i="4" s="1"/>
  <c r="L105" i="4"/>
  <c r="L106" i="4" s="1"/>
  <c r="L107" i="4" s="1"/>
  <c r="G105" i="4"/>
  <c r="G106" i="4" s="1"/>
  <c r="G107" i="4" s="1"/>
  <c r="H105" i="4"/>
  <c r="H106" i="4" s="1"/>
  <c r="H107" i="4" s="1"/>
  <c r="F105" i="4"/>
  <c r="F106" i="4" s="1"/>
  <c r="F107" i="4" s="1"/>
  <c r="K105" i="4"/>
  <c r="K106" i="4" s="1"/>
  <c r="K107" i="4" s="1"/>
  <c r="V59" i="5"/>
  <c r="M59" i="5" s="1"/>
  <c r="V58" i="5"/>
  <c r="M58" i="5" s="1"/>
  <c r="X12" i="5"/>
  <c r="O12" i="5" s="1"/>
  <c r="W12" i="5"/>
  <c r="N12" i="5" s="1"/>
  <c r="T59" i="5"/>
  <c r="K59" i="5" s="1"/>
  <c r="T58" i="5"/>
  <c r="K58" i="5" s="1"/>
  <c r="U59" i="5"/>
  <c r="L59" i="5" s="1"/>
  <c r="U58" i="5"/>
  <c r="L58" i="5" s="1"/>
  <c r="C108" i="6"/>
  <c r="K169" i="9"/>
  <c r="L169" i="9"/>
  <c r="N169" i="9"/>
  <c r="M169" i="9"/>
  <c r="O169" i="9"/>
  <c r="P169" i="9"/>
  <c r="W61" i="5"/>
  <c r="N61" i="5" s="1"/>
  <c r="X61" i="5"/>
  <c r="O61" i="5" s="1"/>
  <c r="R59" i="5"/>
  <c r="I59" i="5" s="1"/>
  <c r="R58" i="5"/>
  <c r="I58" i="5" s="1"/>
  <c r="S59" i="5"/>
  <c r="J59" i="5" s="1"/>
  <c r="S58" i="5"/>
  <c r="J58" i="5" s="1"/>
  <c r="I161" i="4"/>
  <c r="Q59" i="5"/>
  <c r="Q58" i="5"/>
  <c r="J120" i="4"/>
  <c r="C60" i="6"/>
  <c r="F161" i="4"/>
  <c r="P194" i="5"/>
  <c r="P199" i="5" s="1"/>
  <c r="P202" i="5" s="1"/>
  <c r="P204" i="5" s="1"/>
  <c r="I108" i="4"/>
  <c r="C196" i="5"/>
  <c r="C33" i="6" s="1"/>
  <c r="N229" i="5"/>
  <c r="N235" i="5" s="1"/>
  <c r="I229" i="5"/>
  <c r="I235" i="5" s="1"/>
  <c r="O229" i="5"/>
  <c r="L229" i="5"/>
  <c r="L235" i="5" s="1"/>
  <c r="M229" i="5"/>
  <c r="M235" i="5" s="1"/>
  <c r="K229" i="5"/>
  <c r="K235" i="5" s="1"/>
  <c r="J229" i="5"/>
  <c r="J235" i="5" s="1"/>
  <c r="K72" i="4"/>
  <c r="K73" i="4" s="1"/>
  <c r="C93" i="6" s="1"/>
  <c r="G72" i="4"/>
  <c r="G73" i="4" s="1"/>
  <c r="C69" i="6" s="1"/>
  <c r="L72" i="4"/>
  <c r="L73" i="4" s="1"/>
  <c r="C129" i="6" s="1"/>
  <c r="J72" i="4"/>
  <c r="I72" i="4"/>
  <c r="I73" i="4" s="1"/>
  <c r="C105" i="6" s="1"/>
  <c r="F72" i="4"/>
  <c r="F73" i="4" s="1"/>
  <c r="C57" i="6" s="1"/>
  <c r="H72" i="4"/>
  <c r="H73" i="4" s="1"/>
  <c r="C81" i="6" s="1"/>
  <c r="M188" i="5" l="1"/>
  <c r="C115" i="6"/>
  <c r="G120" i="4"/>
  <c r="C67" i="6"/>
  <c r="C91" i="6"/>
  <c r="C103" i="6"/>
  <c r="F120" i="4"/>
  <c r="C55" i="6"/>
  <c r="I120" i="4"/>
  <c r="C79" i="6"/>
  <c r="I188" i="5"/>
  <c r="K120" i="4"/>
  <c r="L188" i="5"/>
  <c r="K188" i="5"/>
  <c r="J188" i="5"/>
  <c r="W58" i="5"/>
  <c r="N58" i="5" s="1"/>
  <c r="X58" i="5"/>
  <c r="O58" i="5" s="1"/>
  <c r="I107" i="4"/>
  <c r="W59" i="5"/>
  <c r="N59" i="5" s="1"/>
  <c r="X59" i="5"/>
  <c r="O59" i="5" s="1"/>
  <c r="P170" i="9"/>
  <c r="N170" i="9"/>
  <c r="L170" i="9"/>
  <c r="O170" i="9"/>
  <c r="M170" i="9"/>
  <c r="K170" i="9"/>
  <c r="I236" i="5"/>
  <c r="M236" i="5"/>
  <c r="N236" i="5"/>
  <c r="L236" i="5"/>
  <c r="K236" i="5"/>
  <c r="J236" i="5"/>
  <c r="O235" i="5"/>
  <c r="C127" i="6" s="1"/>
  <c r="C65" i="6"/>
  <c r="P205" i="5"/>
  <c r="O188" i="5" l="1"/>
  <c r="N188" i="5"/>
  <c r="K171" i="9"/>
  <c r="L171" i="9"/>
  <c r="N171" i="9"/>
  <c r="M171" i="9"/>
  <c r="O171" i="9"/>
  <c r="P171" i="9"/>
  <c r="O115" i="9"/>
  <c r="U54" i="5" s="1"/>
  <c r="L54" i="5" s="1"/>
  <c r="M115" i="9"/>
  <c r="S54" i="5" s="1"/>
  <c r="J54" i="5" s="1"/>
  <c r="K115" i="9"/>
  <c r="Q54" i="5" s="1"/>
  <c r="P115" i="9"/>
  <c r="V54" i="5" s="1"/>
  <c r="M54" i="5" s="1"/>
  <c r="N115" i="9"/>
  <c r="T54" i="5" s="1"/>
  <c r="K54" i="5" s="1"/>
  <c r="L115" i="9"/>
  <c r="R54" i="5" s="1"/>
  <c r="I54" i="5" s="1"/>
  <c r="O236" i="5"/>
  <c r="N116" i="9" l="1"/>
  <c r="K116" i="9"/>
  <c r="M116" i="9"/>
  <c r="P116" i="9"/>
  <c r="O116" i="9"/>
  <c r="L116" i="9"/>
  <c r="W54" i="5"/>
  <c r="N54" i="5" s="1"/>
  <c r="X54" i="5"/>
  <c r="O54" i="5" s="1"/>
  <c r="J70" i="4"/>
  <c r="J67" i="4"/>
  <c r="J64" i="4"/>
  <c r="U55" i="5" l="1"/>
  <c r="L55" i="5" s="1"/>
  <c r="U56" i="5"/>
  <c r="L56" i="5" s="1"/>
  <c r="T55" i="5"/>
  <c r="K55" i="5" s="1"/>
  <c r="T56" i="5"/>
  <c r="K56" i="5" s="1"/>
  <c r="V55" i="5"/>
  <c r="M55" i="5" s="1"/>
  <c r="V56" i="5"/>
  <c r="M56" i="5" s="1"/>
  <c r="S56" i="5"/>
  <c r="J56" i="5" s="1"/>
  <c r="S55" i="5"/>
  <c r="J55" i="5" s="1"/>
  <c r="R55" i="5"/>
  <c r="I55" i="5" s="1"/>
  <c r="R56" i="5"/>
  <c r="I56" i="5" s="1"/>
  <c r="Q55" i="5"/>
  <c r="Q56" i="5"/>
  <c r="J73" i="4"/>
  <c r="C117" i="6" s="1"/>
  <c r="W56" i="5" l="1"/>
  <c r="N56" i="5" s="1"/>
  <c r="X56" i="5"/>
  <c r="O56" i="5" s="1"/>
  <c r="J181" i="5"/>
  <c r="J193" i="5"/>
  <c r="J194" i="5" s="1"/>
  <c r="M193" i="5"/>
  <c r="M194" i="5" s="1"/>
  <c r="M181" i="5"/>
  <c r="K193" i="5"/>
  <c r="K194" i="5" s="1"/>
  <c r="K181" i="5"/>
  <c r="W55" i="5"/>
  <c r="N55" i="5" s="1"/>
  <c r="X55" i="5"/>
  <c r="O55" i="5" s="1"/>
  <c r="I181" i="5"/>
  <c r="I193" i="5"/>
  <c r="I194" i="5" s="1"/>
  <c r="L193" i="5"/>
  <c r="L194" i="5" s="1"/>
  <c r="L181" i="5"/>
  <c r="L199" i="5" l="1"/>
  <c r="L202" i="5" s="1"/>
  <c r="L204" i="5" s="1"/>
  <c r="C100" i="6" s="1"/>
  <c r="C109" i="6" s="1"/>
  <c r="C47" i="6" s="1"/>
  <c r="N193" i="5"/>
  <c r="N194" i="5" s="1"/>
  <c r="N181" i="5"/>
  <c r="J199" i="5"/>
  <c r="J202" i="5" s="1"/>
  <c r="J204" i="5" s="1"/>
  <c r="C64" i="6" s="1"/>
  <c r="C73" i="6" s="1"/>
  <c r="C44" i="6" s="1"/>
  <c r="K199" i="5"/>
  <c r="K202" i="5" s="1"/>
  <c r="K204" i="5" s="1"/>
  <c r="C76" i="6" s="1"/>
  <c r="C85" i="6" s="1"/>
  <c r="C45" i="6" s="1"/>
  <c r="I199" i="5"/>
  <c r="I202" i="5" s="1"/>
  <c r="I204" i="5" s="1"/>
  <c r="C52" i="6" s="1"/>
  <c r="C61" i="6" s="1"/>
  <c r="O193" i="5"/>
  <c r="O194" i="5" s="1"/>
  <c r="O181" i="5"/>
  <c r="M199" i="5"/>
  <c r="M202" i="5" s="1"/>
  <c r="M204" i="5" s="1"/>
  <c r="C112" i="6" s="1"/>
  <c r="C121" i="6" s="1"/>
  <c r="C48" i="6" s="1"/>
  <c r="M100" i="1"/>
  <c r="K102" i="1" s="1"/>
  <c r="K205" i="5" l="1"/>
  <c r="C140" i="6" s="1"/>
  <c r="O199" i="5"/>
  <c r="N199" i="5"/>
  <c r="N202" i="5" s="1"/>
  <c r="N204" i="5" s="1"/>
  <c r="C88" i="6" s="1"/>
  <c r="C97" i="6" s="1"/>
  <c r="C46" i="6" s="1"/>
  <c r="M205" i="5"/>
  <c r="C143" i="6" s="1"/>
  <c r="I205" i="5"/>
  <c r="C138" i="6" s="1"/>
  <c r="J205" i="5"/>
  <c r="C139" i="6" s="1"/>
  <c r="L205" i="5"/>
  <c r="C142" i="6" s="1"/>
  <c r="C38" i="6"/>
  <c r="C43" i="6"/>
  <c r="N205" i="5" l="1"/>
  <c r="C141" i="6" s="1"/>
  <c r="O202" i="5"/>
  <c r="O204" i="5" s="1"/>
  <c r="Q199" i="5"/>
  <c r="Q204" i="5" s="1"/>
  <c r="C124" i="6" l="1"/>
  <c r="C133" i="6" s="1"/>
  <c r="C49" i="6" s="1"/>
  <c r="O205" i="5"/>
  <c r="C144" i="6" s="1"/>
  <c r="C37" i="6" l="1"/>
  <c r="C39" i="6"/>
  <c r="C3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Fleuti, Emanuel</author>
  </authors>
  <commentList>
    <comment ref="E4" authorId="0" shapeId="0" xr:uid="{00000000-0006-0000-0200-000001000000}">
      <text>
        <r>
          <rPr>
            <b/>
            <sz val="9"/>
            <color indexed="81"/>
            <rFont val="Segoe UI"/>
            <family val="2"/>
          </rPr>
          <t>Fleuti, Emanuel:</t>
        </r>
        <r>
          <rPr>
            <sz val="9"/>
            <color indexed="81"/>
            <rFont val="Segoe UI"/>
            <family val="2"/>
          </rPr>
          <t xml:space="preserve">
used for SAF-calculations
</t>
        </r>
      </text>
    </comment>
    <comment ref="G4" authorId="0" shapeId="0" xr:uid="{00000000-0006-0000-0200-000002000000}">
      <text>
        <r>
          <rPr>
            <b/>
            <sz val="9"/>
            <color indexed="81"/>
            <rFont val="Segoe UI"/>
            <family val="2"/>
          </rPr>
          <t>Fleuti, Emanuel:</t>
        </r>
        <r>
          <rPr>
            <sz val="9"/>
            <color indexed="81"/>
            <rFont val="Segoe UI"/>
            <family val="2"/>
          </rPr>
          <t xml:space="preserve">
used for HC-start-up-emissions (BF)</t>
        </r>
      </text>
    </comment>
    <comment ref="H4" authorId="0" shapeId="0" xr:uid="{00000000-0006-0000-0200-000003000000}">
      <text>
        <r>
          <rPr>
            <b/>
            <sz val="9"/>
            <color indexed="81"/>
            <rFont val="Segoe UI"/>
            <family val="2"/>
          </rPr>
          <t>Fleuti, Emanuel:</t>
        </r>
        <r>
          <rPr>
            <sz val="9"/>
            <color indexed="81"/>
            <rFont val="Segoe UI"/>
            <family val="2"/>
          </rPr>
          <t xml:space="preserve">
Taken from Input</t>
        </r>
      </text>
    </comment>
    <comment ref="H218" authorId="0" shapeId="0" xr:uid="{00000000-0006-0000-0200-000004000000}">
      <text>
        <r>
          <rPr>
            <b/>
            <sz val="9"/>
            <color indexed="81"/>
            <rFont val="Segoe UI"/>
            <family val="2"/>
          </rPr>
          <t>Fleuti, Emanuel:</t>
        </r>
        <r>
          <rPr>
            <sz val="9"/>
            <color indexed="81"/>
            <rFont val="Segoe UI"/>
            <family val="2"/>
          </rPr>
          <t xml:space="preserve">
assuming they always operate below 300m/GND</t>
        </r>
      </text>
    </comment>
    <comment ref="I218" authorId="0" shapeId="0" xr:uid="{00000000-0006-0000-0200-000005000000}">
      <text>
        <r>
          <rPr>
            <b/>
            <sz val="9"/>
            <color indexed="81"/>
            <rFont val="Segoe UI"/>
            <family val="2"/>
          </rPr>
          <t>Fleuti, Emanuel:</t>
        </r>
        <r>
          <rPr>
            <sz val="9"/>
            <color indexed="81"/>
            <rFont val="Segoe UI"/>
            <family val="2"/>
          </rPr>
          <t xml:space="preserve">
assuming they always operate below 300m/GND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Fleuti, Emanuel</author>
  </authors>
  <commentList>
    <comment ref="A1" authorId="0" shapeId="0" xr:uid="{00000000-0006-0000-0300-000001000000}">
      <text>
        <r>
          <rPr>
            <b/>
            <sz val="9"/>
            <color indexed="81"/>
            <rFont val="Segoe UI"/>
            <family val="2"/>
          </rPr>
          <t>Fleuti, Emanuel:</t>
        </r>
        <r>
          <rPr>
            <sz val="9"/>
            <color indexed="81"/>
            <rFont val="Segoe UI"/>
            <family val="2"/>
          </rPr>
          <t xml:space="preserve">
BAZL Update 29, August 2019</t>
        </r>
      </text>
    </comment>
    <comment ref="K1" authorId="0" shapeId="0" xr:uid="{00000000-0006-0000-0300-000002000000}">
      <text>
        <r>
          <rPr>
            <b/>
            <sz val="9"/>
            <color indexed="81"/>
            <rFont val="Segoe UI"/>
            <family val="2"/>
          </rPr>
          <t>Fleuti, Emanuel:</t>
        </r>
        <r>
          <rPr>
            <sz val="9"/>
            <color indexed="81"/>
            <rFont val="Segoe UI"/>
            <family val="2"/>
          </rPr>
          <t xml:space="preserve">
LTO- means TO+CL+AP</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Fleuti, Emanuel</author>
  </authors>
  <commentList>
    <comment ref="H47" authorId="0" shapeId="0" xr:uid="{00000000-0006-0000-0400-000001000000}">
      <text>
        <r>
          <rPr>
            <b/>
            <sz val="9"/>
            <color indexed="81"/>
            <rFont val="Segoe UI"/>
            <family val="2"/>
          </rPr>
          <t>Fleuti, Emanuel:</t>
        </r>
        <r>
          <rPr>
            <sz val="9"/>
            <color indexed="81"/>
            <rFont val="Segoe UI"/>
            <family val="2"/>
          </rPr>
          <t xml:space="preserve">
This value is like this, but seems way out.</t>
        </r>
      </text>
    </comment>
    <comment ref="A50" authorId="0" shapeId="0" xr:uid="{00000000-0006-0000-0400-000002000000}">
      <text>
        <r>
          <rPr>
            <b/>
            <sz val="9"/>
            <color indexed="81"/>
            <rFont val="Segoe UI"/>
            <family val="2"/>
          </rPr>
          <t>Fleuti, Emanuel:</t>
        </r>
        <r>
          <rPr>
            <sz val="9"/>
            <color indexed="81"/>
            <rFont val="Segoe UI"/>
            <family val="2"/>
          </rPr>
          <t xml:space="preserve">
LASPORT 2.3
October 2018</t>
        </r>
      </text>
    </comment>
    <comment ref="G125" authorId="0" shapeId="0" xr:uid="{00000000-0006-0000-0400-000003000000}">
      <text>
        <r>
          <rPr>
            <b/>
            <sz val="9"/>
            <color indexed="81"/>
            <rFont val="Segoe UI"/>
            <family val="2"/>
          </rPr>
          <t>Fleuti, Emanuel:</t>
        </r>
        <r>
          <rPr>
            <sz val="9"/>
            <color indexed="81"/>
            <rFont val="Segoe UI"/>
            <family val="2"/>
          </rPr>
          <t xml:space="preserve">
no consideration of SAF possible</t>
        </r>
      </text>
    </comment>
    <comment ref="G153" authorId="0" shapeId="0" xr:uid="{00000000-0006-0000-0400-000004000000}">
      <text>
        <r>
          <rPr>
            <b/>
            <sz val="9"/>
            <color indexed="81"/>
            <rFont val="Segoe UI"/>
            <family val="2"/>
          </rPr>
          <t>Fleuti, Emanuel:</t>
        </r>
        <r>
          <rPr>
            <sz val="9"/>
            <color indexed="81"/>
            <rFont val="Segoe UI"/>
            <family val="2"/>
          </rPr>
          <t xml:space="preserve">
includes start-up emissions per run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Fleuti, Emanuel</author>
  </authors>
  <commentList>
    <comment ref="G19" authorId="0" shapeId="0" xr:uid="{00000000-0006-0000-0500-000001000000}">
      <text>
        <r>
          <rPr>
            <b/>
            <sz val="9"/>
            <color indexed="81"/>
            <rFont val="Tahoma"/>
            <family val="2"/>
          </rPr>
          <t xml:space="preserve">Definition of value:
European Residual Mix, 2013
</t>
        </r>
        <r>
          <rPr>
            <sz val="9"/>
            <color indexed="81"/>
            <rFont val="Tahoma"/>
            <family val="2"/>
          </rPr>
          <t xml:space="preserve">
</t>
        </r>
      </text>
    </comment>
    <comment ref="B110" authorId="0" shapeId="0" xr:uid="{00000000-0006-0000-0500-000002000000}">
      <text>
        <r>
          <rPr>
            <b/>
            <sz val="9"/>
            <color indexed="81"/>
            <rFont val="Tahoma"/>
            <family val="2"/>
          </rPr>
          <t>Value: "other Latin America"</t>
        </r>
        <r>
          <rPr>
            <sz val="9"/>
            <color indexed="81"/>
            <rFont val="Tahoma"/>
            <family val="2"/>
          </rPr>
          <t xml:space="preserve">
</t>
        </r>
      </text>
    </comment>
  </commentList>
</comments>
</file>

<file path=xl/sharedStrings.xml><?xml version="1.0" encoding="utf-8"?>
<sst xmlns="http://schemas.openxmlformats.org/spreadsheetml/2006/main" count="8351" uniqueCount="3694">
  <si>
    <t>Your Airport</t>
  </si>
  <si>
    <t>PM</t>
  </si>
  <si>
    <t>Value is used in another sheet</t>
  </si>
  <si>
    <t>ACI Regions</t>
  </si>
  <si>
    <t>Africa</t>
  </si>
  <si>
    <t>Asia Pacific</t>
  </si>
  <si>
    <t>Europe</t>
  </si>
  <si>
    <t>Lat Am/Caribbean</t>
  </si>
  <si>
    <t>North America</t>
  </si>
  <si>
    <t xml:space="preserve">Country </t>
  </si>
  <si>
    <t>Value</t>
  </si>
  <si>
    <t>Unit</t>
  </si>
  <si>
    <t>ACI Region</t>
  </si>
  <si>
    <t>Ref Year</t>
  </si>
  <si>
    <t>Source</t>
  </si>
  <si>
    <t>(Select one)</t>
  </si>
  <si>
    <t xml:space="preserve">Albania </t>
  </si>
  <si>
    <r>
      <t>g CO</t>
    </r>
    <r>
      <rPr>
        <vertAlign val="subscript"/>
        <sz val="9"/>
        <color rgb="FF000000"/>
        <rFont val="Arial"/>
        <family val="2"/>
      </rPr>
      <t>2</t>
    </r>
    <r>
      <rPr>
        <sz val="9"/>
        <color rgb="FF000000"/>
        <rFont val="Arial"/>
        <family val="2"/>
      </rPr>
      <t xml:space="preserve">/kWh </t>
    </r>
  </si>
  <si>
    <t>Source 2</t>
  </si>
  <si>
    <t xml:space="preserve">Algeria </t>
  </si>
  <si>
    <t xml:space="preserve">Angola </t>
  </si>
  <si>
    <t xml:space="preserve">Argentina </t>
  </si>
  <si>
    <t xml:space="preserve">Armenia </t>
  </si>
  <si>
    <t xml:space="preserve">Australia </t>
  </si>
  <si>
    <t xml:space="preserve">Austria </t>
  </si>
  <si>
    <t>Source 1</t>
  </si>
  <si>
    <t xml:space="preserve">Azerbaijan </t>
  </si>
  <si>
    <t xml:space="preserve">Bahrain  </t>
  </si>
  <si>
    <t xml:space="preserve">Bangladesh  </t>
  </si>
  <si>
    <t>Belarus</t>
  </si>
  <si>
    <t xml:space="preserve">Belgium  </t>
  </si>
  <si>
    <t xml:space="preserve">Benin  </t>
  </si>
  <si>
    <t xml:space="preserve">Bolivia  </t>
  </si>
  <si>
    <t xml:space="preserve">Bosnia-Herzegovina  </t>
  </si>
  <si>
    <t xml:space="preserve">Botswana  </t>
  </si>
  <si>
    <t xml:space="preserve">Brazil  </t>
  </si>
  <si>
    <t xml:space="preserve">Brunei Darussalam  </t>
  </si>
  <si>
    <t xml:space="preserve">Bulgaria  </t>
  </si>
  <si>
    <t xml:space="preserve">Cambodia  </t>
  </si>
  <si>
    <t xml:space="preserve">Cameroon  </t>
  </si>
  <si>
    <t>Canada</t>
  </si>
  <si>
    <t xml:space="preserve">Chile  </t>
  </si>
  <si>
    <t xml:space="preserve">People's Republic of China  </t>
  </si>
  <si>
    <t xml:space="preserve">Chinese Taipei  </t>
  </si>
  <si>
    <t xml:space="preserve">Colombia  </t>
  </si>
  <si>
    <t xml:space="preserve">Congo  </t>
  </si>
  <si>
    <t xml:space="preserve">Dem Republic of Congo  </t>
  </si>
  <si>
    <t xml:space="preserve">Costa Rica  </t>
  </si>
  <si>
    <t xml:space="preserve">Côte d'Ivoire  </t>
  </si>
  <si>
    <t xml:space="preserve">Croatia  </t>
  </si>
  <si>
    <t xml:space="preserve">Cuba  </t>
  </si>
  <si>
    <t xml:space="preserve">Cyprus  </t>
  </si>
  <si>
    <t xml:space="preserve">Czech Republic  </t>
  </si>
  <si>
    <t xml:space="preserve">Denmark  </t>
  </si>
  <si>
    <t xml:space="preserve">Dominican Republic  </t>
  </si>
  <si>
    <t xml:space="preserve">Ecuador  </t>
  </si>
  <si>
    <t xml:space="preserve">Egypt  </t>
  </si>
  <si>
    <t xml:space="preserve">El Salvador  </t>
  </si>
  <si>
    <t xml:space="preserve">Eritrea  </t>
  </si>
  <si>
    <t xml:space="preserve">Estonia  </t>
  </si>
  <si>
    <t xml:space="preserve">Ethiopia  </t>
  </si>
  <si>
    <t xml:space="preserve">Finland  </t>
  </si>
  <si>
    <t xml:space="preserve">France  </t>
  </si>
  <si>
    <t xml:space="preserve">Gabon  </t>
  </si>
  <si>
    <t xml:space="preserve">Georgia  </t>
  </si>
  <si>
    <t xml:space="preserve">Germany  </t>
  </si>
  <si>
    <t xml:space="preserve">Ghana  </t>
  </si>
  <si>
    <t xml:space="preserve">Gibraltar  </t>
  </si>
  <si>
    <t xml:space="preserve">Greece  </t>
  </si>
  <si>
    <t xml:space="preserve">Guatemala  </t>
  </si>
  <si>
    <t xml:space="preserve">Haiti  </t>
  </si>
  <si>
    <t xml:space="preserve">Honduras  </t>
  </si>
  <si>
    <t xml:space="preserve">Hong Kong, China  </t>
  </si>
  <si>
    <t xml:space="preserve">Hungary  </t>
  </si>
  <si>
    <t xml:space="preserve">Iceland  </t>
  </si>
  <si>
    <t xml:space="preserve">India  </t>
  </si>
  <si>
    <t xml:space="preserve">Indonesia  </t>
  </si>
  <si>
    <t xml:space="preserve">Islamic Republic of Iran  </t>
  </si>
  <si>
    <t xml:space="preserve">Iraq  </t>
  </si>
  <si>
    <t xml:space="preserve">Ireland  </t>
  </si>
  <si>
    <t xml:space="preserve">www.seai.ie </t>
  </si>
  <si>
    <t xml:space="preserve">Israel  </t>
  </si>
  <si>
    <t xml:space="preserve">Italy  </t>
  </si>
  <si>
    <t xml:space="preserve">Jamaica  </t>
  </si>
  <si>
    <t xml:space="preserve">Japan  </t>
  </si>
  <si>
    <t xml:space="preserve">Jordan  </t>
  </si>
  <si>
    <t xml:space="preserve">Kazakhstan  </t>
  </si>
  <si>
    <t xml:space="preserve">Kenya  </t>
  </si>
  <si>
    <t xml:space="preserve">Dem People's Rep of Korea  </t>
  </si>
  <si>
    <t xml:space="preserve">Korea  </t>
  </si>
  <si>
    <t xml:space="preserve">Kuwait  </t>
  </si>
  <si>
    <t xml:space="preserve">Kyrgyzstan  </t>
  </si>
  <si>
    <t xml:space="preserve">Latvia  </t>
  </si>
  <si>
    <t xml:space="preserve">Lebanon  </t>
  </si>
  <si>
    <t xml:space="preserve">Libya  </t>
  </si>
  <si>
    <t xml:space="preserve">Lithuania  </t>
  </si>
  <si>
    <t xml:space="preserve">Luxembourg  </t>
  </si>
  <si>
    <t xml:space="preserve">FYR of Macedonia  </t>
  </si>
  <si>
    <t xml:space="preserve">Malaysia  </t>
  </si>
  <si>
    <t xml:space="preserve">Malta  </t>
  </si>
  <si>
    <t xml:space="preserve">Mexico  </t>
  </si>
  <si>
    <t xml:space="preserve">Republic of Moldova  </t>
  </si>
  <si>
    <t xml:space="preserve">Mongolia  </t>
  </si>
  <si>
    <t xml:space="preserve">Morocco  </t>
  </si>
  <si>
    <t xml:space="preserve">Mozambique  </t>
  </si>
  <si>
    <t xml:space="preserve">Myanmar  </t>
  </si>
  <si>
    <t xml:space="preserve">Namibia  </t>
  </si>
  <si>
    <t xml:space="preserve">Nepal  </t>
  </si>
  <si>
    <t xml:space="preserve">Netherlands  </t>
  </si>
  <si>
    <t xml:space="preserve">Netherlands Antilles  </t>
  </si>
  <si>
    <t xml:space="preserve">New Zealand  </t>
  </si>
  <si>
    <t xml:space="preserve">Nicaragua  </t>
  </si>
  <si>
    <t xml:space="preserve">Nigeria  </t>
  </si>
  <si>
    <t xml:space="preserve">Norway  </t>
  </si>
  <si>
    <t xml:space="preserve">Oman  </t>
  </si>
  <si>
    <t xml:space="preserve">Pakistan  </t>
  </si>
  <si>
    <t xml:space="preserve">Panama  </t>
  </si>
  <si>
    <t xml:space="preserve">Paraguay  </t>
  </si>
  <si>
    <t xml:space="preserve">Peru  </t>
  </si>
  <si>
    <t xml:space="preserve">Philippines  </t>
  </si>
  <si>
    <t xml:space="preserve">Poland  </t>
  </si>
  <si>
    <t xml:space="preserve">Portugal  </t>
  </si>
  <si>
    <t xml:space="preserve">Qatar  </t>
  </si>
  <si>
    <t xml:space="preserve">Romania  </t>
  </si>
  <si>
    <t xml:space="preserve">Russia  </t>
  </si>
  <si>
    <t xml:space="preserve">Saudi Arabia  </t>
  </si>
  <si>
    <t xml:space="preserve">Senegal  </t>
  </si>
  <si>
    <t xml:space="preserve">Serbia and Montenegro  </t>
  </si>
  <si>
    <t xml:space="preserve">Singapore  </t>
  </si>
  <si>
    <t xml:space="preserve">Slovak Republic  </t>
  </si>
  <si>
    <t xml:space="preserve">Slovenia  </t>
  </si>
  <si>
    <t xml:space="preserve">South Africa  </t>
  </si>
  <si>
    <t xml:space="preserve">Spain  </t>
  </si>
  <si>
    <t xml:space="preserve">Sri Lanka  </t>
  </si>
  <si>
    <t xml:space="preserve">Sudan  </t>
  </si>
  <si>
    <t xml:space="preserve">Sweden  </t>
  </si>
  <si>
    <t xml:space="preserve">Switzerland  </t>
  </si>
  <si>
    <t xml:space="preserve">Syria  </t>
  </si>
  <si>
    <t xml:space="preserve">Tajikistan  </t>
  </si>
  <si>
    <t xml:space="preserve">United Republic of Tanzania  </t>
  </si>
  <si>
    <t xml:space="preserve">Thailand  </t>
  </si>
  <si>
    <t xml:space="preserve">Togo  </t>
  </si>
  <si>
    <t xml:space="preserve">Trinidad and Tobago  </t>
  </si>
  <si>
    <t xml:space="preserve">Tunisia  </t>
  </si>
  <si>
    <t xml:space="preserve">Turkey  </t>
  </si>
  <si>
    <t xml:space="preserve">Turkmenistan  </t>
  </si>
  <si>
    <t xml:space="preserve">Ukraine  </t>
  </si>
  <si>
    <t xml:space="preserve">United Arab Emirates  </t>
  </si>
  <si>
    <t xml:space="preserve">United Kingdom  </t>
  </si>
  <si>
    <t xml:space="preserve">United States  </t>
  </si>
  <si>
    <t>EPA 2010 eGRID, 9th version 1.0, Feb. 2014</t>
  </si>
  <si>
    <t xml:space="preserve">Uruguay  </t>
  </si>
  <si>
    <t xml:space="preserve">Uzbekistan  </t>
  </si>
  <si>
    <t xml:space="preserve">Venezuela  </t>
  </si>
  <si>
    <t xml:space="preserve">Vietnam  </t>
  </si>
  <si>
    <t xml:space="preserve">Yemen  </t>
  </si>
  <si>
    <t xml:space="preserve">Zambia  </t>
  </si>
  <si>
    <t xml:space="preserve">Zimbabwe  </t>
  </si>
  <si>
    <t xml:space="preserve">Other Africa </t>
  </si>
  <si>
    <t>Other Latin America</t>
  </si>
  <si>
    <t>Other Caribbean</t>
  </si>
  <si>
    <t>Other Asia</t>
  </si>
  <si>
    <t>Other Pacific</t>
  </si>
  <si>
    <t>Other Europe</t>
  </si>
  <si>
    <t>Source 1: European Residual Mix 2013 (RE-DISS II, www.reliable-disclosure.org)</t>
  </si>
  <si>
    <t>Source 2: Ecometrica (2011). Electricity-specific emission factors for grid electricity</t>
  </si>
  <si>
    <t>ACI Region:</t>
  </si>
  <si>
    <t>Total</t>
  </si>
  <si>
    <t>GPU</t>
  </si>
  <si>
    <t>APU</t>
  </si>
  <si>
    <t>400Hz</t>
  </si>
  <si>
    <t>Ground Power Unit (usually, mobile, diesel powered)</t>
  </si>
  <si>
    <t>Auxiliary Power Unit (built in aircraft, Jet A-1 powered).</t>
  </si>
  <si>
    <t>Jet A-1</t>
  </si>
  <si>
    <t>Terms and Abbreviations</t>
  </si>
  <si>
    <t>PCA</t>
  </si>
  <si>
    <t>CO2 cars</t>
  </si>
  <si>
    <t>t CO2 per Capita 2014</t>
  </si>
  <si>
    <t>MES</t>
  </si>
  <si>
    <t>Particle Matter (all sizes)</t>
  </si>
  <si>
    <t>IATA:</t>
  </si>
  <si>
    <t>Your Aircraft Operations</t>
  </si>
  <si>
    <t>Your Airport Operations</t>
  </si>
  <si>
    <t>"Large"
(Code E/F)</t>
  </si>
  <si>
    <t>"Regional"
(C, BizJets)</t>
  </si>
  <si>
    <t>Turboprop 
Piston</t>
  </si>
  <si>
    <t>Aircraft Taxi</t>
  </si>
  <si>
    <t>Aircraft APU</t>
  </si>
  <si>
    <t>Your Aircraft Maintenance</t>
  </si>
  <si>
    <t>Number of engine run-ups</t>
  </si>
  <si>
    <t>GPU (Ground Power Unit)</t>
  </si>
  <si>
    <t>Aircraft Fuelling</t>
  </si>
  <si>
    <t>Jet-A1 Uplift</t>
  </si>
  <si>
    <t>Aviation gasoline (AVGAS)</t>
  </si>
  <si>
    <t>(min)</t>
  </si>
  <si>
    <t>Average Taxi-in Time</t>
  </si>
  <si>
    <t>(%)</t>
  </si>
  <si>
    <t>APU time before departure</t>
  </si>
  <si>
    <t>APU time upon arrival</t>
  </si>
  <si>
    <t>APU required</t>
  </si>
  <si>
    <r>
      <t xml:space="preserve">ALECA
</t>
    </r>
    <r>
      <rPr>
        <b/>
        <sz val="14"/>
        <color rgb="FF005EA4"/>
        <rFont val="Arial"/>
        <family val="2"/>
      </rPr>
      <t>Aircraft Local Emission Calculator for Airports</t>
    </r>
  </si>
  <si>
    <t>Average duration</t>
  </si>
  <si>
    <t>(#)</t>
  </si>
  <si>
    <t>Typical engine</t>
  </si>
  <si>
    <t>HC (g/min)</t>
  </si>
  <si>
    <t>CO (g/min)</t>
  </si>
  <si>
    <t>PM (g/min)</t>
  </si>
  <si>
    <t>CO2 (g/min)</t>
  </si>
  <si>
    <t>PW206C</t>
  </si>
  <si>
    <t>CF6-50A</t>
  </si>
  <si>
    <t>CF6-80A</t>
  </si>
  <si>
    <t>PW4168</t>
  </si>
  <si>
    <t>CFM56-5C4/1P</t>
  </si>
  <si>
    <t>RR Trent 970</t>
  </si>
  <si>
    <t>FAEED135</t>
  </si>
  <si>
    <t>D-36</t>
  </si>
  <si>
    <t>ATR-42-300</t>
  </si>
  <si>
    <t>PW127E</t>
  </si>
  <si>
    <t>ATR-72-200</t>
  </si>
  <si>
    <t>PW127F</t>
  </si>
  <si>
    <t>LF507</t>
  </si>
  <si>
    <t>BAe ATP</t>
  </si>
  <si>
    <t>PW124</t>
  </si>
  <si>
    <t>BAe Jetstream 41</t>
  </si>
  <si>
    <t>TPE331-14GR</t>
  </si>
  <si>
    <t>FAEED136</t>
  </si>
  <si>
    <t>Beech 1900D</t>
  </si>
  <si>
    <t>PT6A-67D</t>
  </si>
  <si>
    <t>FJ44-2A</t>
  </si>
  <si>
    <t>Beech Super King 200B</t>
  </si>
  <si>
    <t>PT6A-42</t>
  </si>
  <si>
    <t>Beech Super King 350</t>
  </si>
  <si>
    <t>PT6A-60A</t>
  </si>
  <si>
    <t>Beech T-6A Texan</t>
  </si>
  <si>
    <t>PT6A-68</t>
  </si>
  <si>
    <t>Bell 206B</t>
  </si>
  <si>
    <t>Allison 250-C20J</t>
  </si>
  <si>
    <t>Bell 230</t>
  </si>
  <si>
    <t>Allison 250-C30G2</t>
  </si>
  <si>
    <t>Bell 407/MDD 600N</t>
  </si>
  <si>
    <t>Allison 250-C47</t>
  </si>
  <si>
    <t>Bell 430</t>
  </si>
  <si>
    <t>Allison 250-C40B</t>
  </si>
  <si>
    <t>Bell AB119</t>
  </si>
  <si>
    <t>PT6C-67C</t>
  </si>
  <si>
    <t>CFM56-7B24</t>
  </si>
  <si>
    <t>CF6-80C2B4</t>
  </si>
  <si>
    <t>RB211-535C</t>
  </si>
  <si>
    <t>Allison AE2100</t>
  </si>
  <si>
    <t>C-27 Spartan</t>
  </si>
  <si>
    <t>LF502-L</t>
  </si>
  <si>
    <t>Casa C-212</t>
  </si>
  <si>
    <t>TPE331-12J</t>
  </si>
  <si>
    <t>Casa CN-235</t>
  </si>
  <si>
    <t>CT7-9C</t>
  </si>
  <si>
    <t>Cessna 172</t>
  </si>
  <si>
    <t>IO-360-L2A</t>
  </si>
  <si>
    <t>Cessna 182</t>
  </si>
  <si>
    <t>IO-540-AB1A5</t>
  </si>
  <si>
    <t>Cessna 208B</t>
  </si>
  <si>
    <t>PT6A-114D</t>
  </si>
  <si>
    <t>Cessna 402</t>
  </si>
  <si>
    <t>TSIO-520E</t>
  </si>
  <si>
    <t>FJ44-1A</t>
  </si>
  <si>
    <t>PW545A</t>
  </si>
  <si>
    <t>PW306C</t>
  </si>
  <si>
    <t>GMA 3007C</t>
  </si>
  <si>
    <t>JT15D-1A</t>
  </si>
  <si>
    <t>CH-47</t>
  </si>
  <si>
    <t>T55-714A</t>
  </si>
  <si>
    <t>Cirrus SR22</t>
  </si>
  <si>
    <t>IO-550-N</t>
  </si>
  <si>
    <t>AS907</t>
  </si>
  <si>
    <t>CL415</t>
  </si>
  <si>
    <t>PW123-AF</t>
  </si>
  <si>
    <t>CF34-3B1</t>
  </si>
  <si>
    <t>CF34-8C1</t>
  </si>
  <si>
    <t>CF34-8C5</t>
  </si>
  <si>
    <t>Dash 7</t>
  </si>
  <si>
    <t>PT6A-50</t>
  </si>
  <si>
    <t>Dash 8-400</t>
  </si>
  <si>
    <t>PW150</t>
  </si>
  <si>
    <t>DHC-6 Twin Otter</t>
  </si>
  <si>
    <t>PT6A-27</t>
  </si>
  <si>
    <t>Diamond DA-42</t>
  </si>
  <si>
    <t>TAE (135hp)</t>
  </si>
  <si>
    <t>Dornier 228</t>
  </si>
  <si>
    <t>TPE-331-5</t>
  </si>
  <si>
    <t>PW306B</t>
  </si>
  <si>
    <t>Dornier 328 (TP)</t>
  </si>
  <si>
    <t>PW119B</t>
  </si>
  <si>
    <t>Eclipse 500</t>
  </si>
  <si>
    <t>EJ22</t>
  </si>
  <si>
    <t>EMB 120</t>
  </si>
  <si>
    <t>PW118A</t>
  </si>
  <si>
    <t>AE3007A</t>
  </si>
  <si>
    <t>EMB 314</t>
  </si>
  <si>
    <t>AE3007-A1P</t>
  </si>
  <si>
    <t>Eurocopter AS332</t>
  </si>
  <si>
    <t>Makila 1A2</t>
  </si>
  <si>
    <t>Eurocopter AS350</t>
  </si>
  <si>
    <t>Arriel 1D1</t>
  </si>
  <si>
    <t>Eurocopter AS365</t>
  </si>
  <si>
    <t>Arriel 1C2</t>
  </si>
  <si>
    <t>Eurocopter EC130/135</t>
  </si>
  <si>
    <t>Eurocopter EC145/155</t>
  </si>
  <si>
    <t>TFE731-40</t>
  </si>
  <si>
    <t>TFE731-60</t>
  </si>
  <si>
    <t>Tay 620-15</t>
  </si>
  <si>
    <t>Fokker F27</t>
  </si>
  <si>
    <t>RR Dart 528</t>
  </si>
  <si>
    <t>FAEED226</t>
  </si>
  <si>
    <t>Spey 555-15</t>
  </si>
  <si>
    <t>Fokker F50</t>
  </si>
  <si>
    <t>PW125B</t>
  </si>
  <si>
    <t>PW306A</t>
  </si>
  <si>
    <t>BR710-48</t>
  </si>
  <si>
    <t>BR710-48A2</t>
  </si>
  <si>
    <t>TFE731-5BR</t>
  </si>
  <si>
    <t>PW308A</t>
  </si>
  <si>
    <t>TFE731-3</t>
  </si>
  <si>
    <t>PS-90A</t>
  </si>
  <si>
    <t>PW305A</t>
  </si>
  <si>
    <t>PW206B</t>
  </si>
  <si>
    <t>PW4460</t>
  </si>
  <si>
    <t>JT8D-219</t>
  </si>
  <si>
    <t>V2525-D5</t>
  </si>
  <si>
    <t>Piaggio P180</t>
  </si>
  <si>
    <t>PT6A-66</t>
  </si>
  <si>
    <t>Pilatus PC-12</t>
  </si>
  <si>
    <t>PT6A-67B</t>
  </si>
  <si>
    <t>Pilatus PC-21</t>
  </si>
  <si>
    <t>PT6A-68B</t>
  </si>
  <si>
    <t>Pilatus PC-9</t>
  </si>
  <si>
    <t>PT6A-62</t>
  </si>
  <si>
    <t>Piper PA31 Cheyenne</t>
  </si>
  <si>
    <t>PT6A-28</t>
  </si>
  <si>
    <t>Piper PA32 Saratoga</t>
  </si>
  <si>
    <t>IO-540-KIG5</t>
  </si>
  <si>
    <t>Piper PA34 Seneca</t>
  </si>
  <si>
    <t>TSIO-360RB</t>
  </si>
  <si>
    <t>FAEED160</t>
  </si>
  <si>
    <t>Piper PA46 Malibu</t>
  </si>
  <si>
    <t>REIMS F406 Caravan</t>
  </si>
  <si>
    <t>PT6A-112</t>
  </si>
  <si>
    <t>Robinson R22/44</t>
  </si>
  <si>
    <t>S-70A</t>
  </si>
  <si>
    <t>T700-GE-701C</t>
  </si>
  <si>
    <t>S-76C</t>
  </si>
  <si>
    <t>PT6B-36A</t>
  </si>
  <si>
    <t>Saab 2000</t>
  </si>
  <si>
    <t>GMA 2100A</t>
  </si>
  <si>
    <t>Saab 340</t>
  </si>
  <si>
    <t>CT7-9B</t>
  </si>
  <si>
    <t>SH-60 Seahawk</t>
  </si>
  <si>
    <t>T700-GE-401C</t>
  </si>
  <si>
    <t>Shorts 330</t>
  </si>
  <si>
    <t>PT6A-45</t>
  </si>
  <si>
    <t>Shorts 360</t>
  </si>
  <si>
    <t>PT6A-65AR</t>
  </si>
  <si>
    <t>Super Lynx 300</t>
  </si>
  <si>
    <t>CTS800-4N</t>
  </si>
  <si>
    <t>FJ44</t>
  </si>
  <si>
    <t>TB-200 Tobago</t>
  </si>
  <si>
    <t>IO-360-A1B6</t>
  </si>
  <si>
    <t>TB-360 Tangara</t>
  </si>
  <si>
    <t>O-320-D1D</t>
  </si>
  <si>
    <t>TBM 700</t>
  </si>
  <si>
    <t>PT6A-64</t>
  </si>
  <si>
    <t>RB211-535E4</t>
  </si>
  <si>
    <t>Other 1 engine helicopter</t>
  </si>
  <si>
    <t>Other 1 piston aircraft</t>
  </si>
  <si>
    <t>Other 1 turbo aircraft</t>
  </si>
  <si>
    <t>Other 2 engine helicopter</t>
  </si>
  <si>
    <t>Other 2 piston aircraft</t>
  </si>
  <si>
    <t>Other 2 turbo aircraft</t>
  </si>
  <si>
    <t>Other 3 turbo aircraft</t>
  </si>
  <si>
    <t>Other 4 turbo aircraft</t>
  </si>
  <si>
    <t>Group</t>
  </si>
  <si>
    <t># Mvmt</t>
  </si>
  <si>
    <t>1996-2005 GSE Technology</t>
  </si>
  <si>
    <t>2006-2020 GSE Technology</t>
  </si>
  <si>
    <t>GSE (Handling)</t>
  </si>
  <si>
    <t>Large</t>
  </si>
  <si>
    <t>Helicopter</t>
  </si>
  <si>
    <t>Piston</t>
  </si>
  <si>
    <t>Turboprop</t>
  </si>
  <si>
    <t>kg/cycle</t>
  </si>
  <si>
    <t>HC</t>
  </si>
  <si>
    <t>CO</t>
  </si>
  <si>
    <t>nvPM</t>
  </si>
  <si>
    <t>#/cycle</t>
  </si>
  <si>
    <t>n.a.</t>
  </si>
  <si>
    <t>Medium</t>
  </si>
  <si>
    <t>Small</t>
  </si>
  <si>
    <t>Regional</t>
  </si>
  <si>
    <t>Business</t>
  </si>
  <si>
    <t>HC (kg)</t>
  </si>
  <si>
    <t>CO (kg)</t>
  </si>
  <si>
    <t>PM (kg)</t>
  </si>
  <si>
    <t>CO2 (kg)</t>
  </si>
  <si>
    <t>End of Data</t>
  </si>
  <si>
    <t>PW1127G-JM</t>
  </si>
  <si>
    <t>PW1133G-JM</t>
  </si>
  <si>
    <t>Trent XWB-84</t>
  </si>
  <si>
    <t>PW1524G</t>
  </si>
  <si>
    <t>PW1525G</t>
  </si>
  <si>
    <t>LEAP-1B28</t>
  </si>
  <si>
    <t>LEAP-1A26</t>
  </si>
  <si>
    <t>Option 1: Default Technology</t>
  </si>
  <si>
    <t>Movements</t>
  </si>
  <si>
    <t>Option 2: Fuel Type</t>
  </si>
  <si>
    <t>kg/a</t>
  </si>
  <si>
    <t>goes to Result</t>
  </si>
  <si>
    <t>Fuel</t>
  </si>
  <si>
    <t>Amount</t>
  </si>
  <si>
    <t>Jet-A1</t>
  </si>
  <si>
    <t>Avgas</t>
  </si>
  <si>
    <t>Type</t>
  </si>
  <si>
    <t>Total min</t>
  </si>
  <si>
    <t>Factor</t>
  </si>
  <si>
    <t>HC (kg/a)</t>
  </si>
  <si>
    <t>CO (kg(a)</t>
  </si>
  <si>
    <t>PM (kg/a)</t>
  </si>
  <si>
    <t>CO2 (kg/a)</t>
  </si>
  <si>
    <t>Option 1: by GSE Technology</t>
  </si>
  <si>
    <t>Option 2: by Fuel Type and Amount</t>
  </si>
  <si>
    <t>Diesel</t>
  </si>
  <si>
    <t>Gasoline</t>
  </si>
  <si>
    <t>Unit (select):</t>
  </si>
  <si>
    <t>Substance</t>
  </si>
  <si>
    <t>CO2</t>
  </si>
  <si>
    <t>kg</t>
  </si>
  <si>
    <t>Conversions</t>
  </si>
  <si>
    <t>divide by</t>
  </si>
  <si>
    <t>L diesel to kg</t>
  </si>
  <si>
    <t>times</t>
  </si>
  <si>
    <t>L gasoline to kg</t>
  </si>
  <si>
    <t>gallon to litre</t>
  </si>
  <si>
    <t>EI (g HC/kg)</t>
  </si>
  <si>
    <t>L kerosene to kg</t>
  </si>
  <si>
    <t>l AVGAS to kg</t>
  </si>
  <si>
    <t>* Aircraft has and operates APU</t>
  </si>
  <si>
    <t>Airbus 319*</t>
  </si>
  <si>
    <t>Airbus 319Neo*</t>
  </si>
  <si>
    <t>Airbus 320*</t>
  </si>
  <si>
    <t>Airbus 320Neo*</t>
  </si>
  <si>
    <t>Airbus 321*</t>
  </si>
  <si>
    <t>Airbus 321Neo*</t>
  </si>
  <si>
    <t>AN-72/74*</t>
  </si>
  <si>
    <t>BAe 146-300*</t>
  </si>
  <si>
    <t>Boeing 737 Max*</t>
  </si>
  <si>
    <t>Boeing 747 (400)*</t>
  </si>
  <si>
    <t>Canadair Challenger*</t>
  </si>
  <si>
    <t>Cessna 525*</t>
  </si>
  <si>
    <t>Cessna 560XL*</t>
  </si>
  <si>
    <t>Cessna 680*</t>
  </si>
  <si>
    <t>Cessna 750*</t>
  </si>
  <si>
    <t>Cessna Citation*</t>
  </si>
  <si>
    <t>CL300*</t>
  </si>
  <si>
    <t>CRJ200*</t>
  </si>
  <si>
    <t>CRJ700*</t>
  </si>
  <si>
    <t>CRJ900*</t>
  </si>
  <si>
    <t>Dornier 328 (Jet)*</t>
  </si>
  <si>
    <t>EMB 135/145*</t>
  </si>
  <si>
    <t>EMB 170*</t>
  </si>
  <si>
    <t>EMB 190*</t>
  </si>
  <si>
    <t>EMB Legacy*</t>
  </si>
  <si>
    <t>Falcon 2000*</t>
  </si>
  <si>
    <t>Falcon 50*</t>
  </si>
  <si>
    <t>Falcon 900EX*</t>
  </si>
  <si>
    <t>Fokker F100*</t>
  </si>
  <si>
    <t>Fokker F28*</t>
  </si>
  <si>
    <t>Fokker F70*</t>
  </si>
  <si>
    <t>Galaxy*</t>
  </si>
  <si>
    <t>GLEX*</t>
  </si>
  <si>
    <t>Global 5000*</t>
  </si>
  <si>
    <t>Gulfstream G200*</t>
  </si>
  <si>
    <t>Gulfstream V*</t>
  </si>
  <si>
    <t>Hawker 800*</t>
  </si>
  <si>
    <t>Hawker Horizon*</t>
  </si>
  <si>
    <t>HS125-700*</t>
  </si>
  <si>
    <t>IL76*</t>
  </si>
  <si>
    <t>Learjet 45*</t>
  </si>
  <si>
    <t>Learjet 60*</t>
  </si>
  <si>
    <t>MD11*</t>
  </si>
  <si>
    <t>MD83 (80-87)*</t>
  </si>
  <si>
    <t>MD95*</t>
  </si>
  <si>
    <t>RJ85*</t>
  </si>
  <si>
    <t>Swearingen SJ30*</t>
  </si>
  <si>
    <t>TU-204*</t>
  </si>
  <si>
    <t>Yak-42*</t>
  </si>
  <si>
    <t>Other 2 engine bizjets*</t>
  </si>
  <si>
    <t>Unit Selection</t>
  </si>
  <si>
    <t>litre</t>
  </si>
  <si>
    <t>hours</t>
  </si>
  <si>
    <t>GSE&amp;Fuel</t>
  </si>
  <si>
    <t>CNG</t>
  </si>
  <si>
    <t>GSE Options</t>
  </si>
  <si>
    <t>Choose Option:</t>
  </si>
  <si>
    <t>GGE</t>
  </si>
  <si>
    <t>m3 CNG to kg</t>
  </si>
  <si>
    <t>GGE (CNG) to kg</t>
  </si>
  <si>
    <t>Study Year:</t>
  </si>
  <si>
    <t>t/a</t>
  </si>
  <si>
    <t>Total NOx</t>
  </si>
  <si>
    <t>Total VOC</t>
  </si>
  <si>
    <t>Total CO</t>
  </si>
  <si>
    <t>Total SOx</t>
  </si>
  <si>
    <t>Total PM</t>
  </si>
  <si>
    <t>mvmt/a</t>
  </si>
  <si>
    <t>NOx</t>
  </si>
  <si>
    <t>SOx</t>
  </si>
  <si>
    <r>
      <rPr>
        <b/>
        <sz val="12"/>
        <color rgb="FF005EA4"/>
        <rFont val="Arial"/>
        <family val="2"/>
      </rPr>
      <t>ALECA</t>
    </r>
    <r>
      <rPr>
        <b/>
        <sz val="11"/>
        <color rgb="FF005EA4"/>
        <rFont val="Arial"/>
        <family val="2"/>
      </rPr>
      <t xml:space="preserve">
Aircraft Local Emission Calculator for Airports</t>
    </r>
  </si>
  <si>
    <t>Passengers (per year)</t>
  </si>
  <si>
    <t>Cargo (t)</t>
  </si>
  <si>
    <t>used unit:</t>
  </si>
  <si>
    <t>kg/h</t>
  </si>
  <si>
    <t>FF _MES</t>
  </si>
  <si>
    <t>FF _ECS</t>
  </si>
  <si>
    <t>FF _NL</t>
  </si>
  <si>
    <t>NOx _MES</t>
  </si>
  <si>
    <t>NOx _ECS</t>
  </si>
  <si>
    <t>NOx _NL</t>
  </si>
  <si>
    <t>VOC _MES</t>
  </si>
  <si>
    <t>VOC _ECS</t>
  </si>
  <si>
    <t>VOC _NL</t>
  </si>
  <si>
    <t>CO _MES</t>
  </si>
  <si>
    <t>CO _ECS</t>
  </si>
  <si>
    <t>CO _NL</t>
  </si>
  <si>
    <t>nvPMF _MES</t>
  </si>
  <si>
    <t>nvPMF _ECS</t>
  </si>
  <si>
    <t>nvPMF  _NL</t>
  </si>
  <si>
    <t>nvPNF _MES</t>
  </si>
  <si>
    <t>nvPNF _ECS</t>
  </si>
  <si>
    <t>nvPNF _NL</t>
  </si>
  <si>
    <t>#/h</t>
  </si>
  <si>
    <t>NOx (g/min)</t>
  </si>
  <si>
    <t>NOx (kg/a)</t>
  </si>
  <si>
    <t>SOx (g/min)</t>
  </si>
  <si>
    <t>SOx (kg/a)</t>
  </si>
  <si>
    <t>Global Electricity Grid Factors</t>
  </si>
  <si>
    <t>Aircraft De-icing</t>
  </si>
  <si>
    <t xml:space="preserve">           FB</t>
  </si>
  <si>
    <t xml:space="preserve">         HC</t>
  </si>
  <si>
    <t xml:space="preserve">        CO</t>
  </si>
  <si>
    <t xml:space="preserve">     PM10</t>
  </si>
  <si>
    <t>PN</t>
  </si>
  <si>
    <t xml:space="preserve">        CO2</t>
  </si>
  <si>
    <t>kg/ac</t>
  </si>
  <si>
    <t>Aircraft Movements</t>
  </si>
  <si>
    <t>Aircraft (mvmt)</t>
  </si>
  <si>
    <t>Crosscheck:</t>
  </si>
  <si>
    <t>of your declared total movements.</t>
  </si>
  <si>
    <t>You have specified in detail</t>
  </si>
  <si>
    <t>End of Calculations</t>
  </si>
  <si>
    <t>Aircraft NOx per Traffic Unit</t>
  </si>
  <si>
    <t>g NOx/TU</t>
  </si>
  <si>
    <t>Traffic Units</t>
  </si>
  <si>
    <t>TU</t>
  </si>
  <si>
    <t>Operations</t>
  </si>
  <si>
    <t>Passenger</t>
  </si>
  <si>
    <t>pax/a</t>
  </si>
  <si>
    <t xml:space="preserve">Cargo </t>
  </si>
  <si>
    <t>1. Technology</t>
  </si>
  <si>
    <t>2. Fuel</t>
  </si>
  <si>
    <t>Per Capita</t>
  </si>
  <si>
    <t>t CO2/capita</t>
  </si>
  <si>
    <t># persons</t>
  </si>
  <si>
    <t>tPN</t>
  </si>
  <si>
    <t>nvPN (#/min)</t>
  </si>
  <si>
    <t>nvPN</t>
  </si>
  <si>
    <t>PN (#/ac)</t>
  </si>
  <si>
    <t>Total nvPN</t>
  </si>
  <si>
    <t>#/a</t>
  </si>
  <si>
    <t>Option 3: by Aircraft Group Default</t>
  </si>
  <si>
    <t>3. Aircraft Group</t>
  </si>
  <si>
    <t xml:space="preserve">        Unit</t>
  </si>
  <si>
    <t>FB</t>
  </si>
  <si>
    <t xml:space="preserve">          HC</t>
  </si>
  <si>
    <t xml:space="preserve">          CO</t>
  </si>
  <si>
    <t xml:space="preserve">        PM10</t>
  </si>
  <si>
    <t>HeliLarge</t>
  </si>
  <si>
    <t>HeliSmall</t>
  </si>
  <si>
    <t>Option 3: Aircraft Group Default</t>
  </si>
  <si>
    <t>SOX</t>
  </si>
  <si>
    <t>About</t>
  </si>
  <si>
    <t>ALECA</t>
  </si>
  <si>
    <t>Aircraft Local Emission Calculator for Airports</t>
  </si>
  <si>
    <t>GSE</t>
  </si>
  <si>
    <t>non-volatile Particle Matter (mass)</t>
  </si>
  <si>
    <t>AVGAS</t>
  </si>
  <si>
    <t>Mvmt</t>
  </si>
  <si>
    <t>Traffic Unit (=1 pax or 100 kg cargo)</t>
  </si>
  <si>
    <t>Gasoline Gallon Equivalent (for CNG)</t>
  </si>
  <si>
    <t>Compressed Natural Gas</t>
  </si>
  <si>
    <t>User instructions</t>
  </si>
  <si>
    <t>Methodologies and References</t>
  </si>
  <si>
    <t>LTO</t>
  </si>
  <si>
    <t>Landing and Take-off cycle (=2 movements)</t>
  </si>
  <si>
    <t>Enter the operating time during the arrival process (including taxi-in) and during the departure process (including taxi-out).</t>
  </si>
  <si>
    <t>Enter the amount of diesel used; only diesel is considered as fuel.</t>
  </si>
  <si>
    <t>For Option 1, "1. Technology", enter the percentage for the 1995-2005 Technology Group; the rest is claculated automatically.</t>
  </si>
  <si>
    <t>Aircraft-De-icing:</t>
  </si>
  <si>
    <t>Aircraft Fuelling:</t>
  </si>
  <si>
    <t>Aircraft Maintenance:</t>
  </si>
  <si>
    <t>Aircraft operations:</t>
  </si>
  <si>
    <t>Aircraft Taxi:</t>
  </si>
  <si>
    <t>Aircraft APU:</t>
  </si>
  <si>
    <t>GPU:</t>
  </si>
  <si>
    <t>GSE:</t>
  </si>
  <si>
    <t>Results</t>
  </si>
  <si>
    <t>Once completed, turn to the Results-page. You may copy the results into any other application.</t>
  </si>
  <si>
    <t>Electricity for aircraft, mostly for ground times.</t>
  </si>
  <si>
    <t>Pre-conditioned air for aircraft, mostly during ground time.</t>
  </si>
  <si>
    <t>First enter the calculation option; this will trigger, which result is being used; values for other options will be disregarded.</t>
  </si>
  <si>
    <t>For Option 2, "2. Fuel Type", enter the amount and unit of the fuel types. No other than the listed fuel types are available/used.</t>
  </si>
  <si>
    <t>Enter the percentage of required APU usage (400Hz and/or PCA) for each aircraft group.</t>
  </si>
  <si>
    <t>Airport Name:</t>
  </si>
  <si>
    <t>Country (select):</t>
  </si>
  <si>
    <t>Aircraft:</t>
  </si>
  <si>
    <t>For other engine types (smaller jets, turboprops, piston and helicopters) other LTO definitions for thrust/power and time in mode are used.</t>
  </si>
  <si>
    <t>Emission factors are from ICAO (for all regulated engines) and the Swiss Federal Office for Civil Aviation (for all other engines).</t>
  </si>
  <si>
    <t>LASPORT</t>
  </si>
  <si>
    <t xml:space="preserve">Lagrangian Emission and Dispersion Model for Airports (see www.janicke.de). </t>
  </si>
  <si>
    <t>APU:</t>
  </si>
  <si>
    <t>Main engine startup emissions are calculated according to ICAO Doc 9889.</t>
  </si>
  <si>
    <t>Taxi-times are variable according to aircraft Code; for helicopters, a standard LTO is assumed.</t>
  </si>
  <si>
    <t>APU emissions are calculated according to ICAO Doc 9889 (start-up, normal running, MES).</t>
  </si>
  <si>
    <t>Main Engine Start (using the APU)</t>
  </si>
  <si>
    <t>Emission factors are from ICAO Doc 9889, not using the categories "older".</t>
  </si>
  <si>
    <t>Crosscheck that you have specified individual aircraft movements as close to the total declared annual aircraft movements as possible. Else adjust.</t>
  </si>
  <si>
    <t>The minimum usage of APU (for MES) is always considered, even of the other operating times are set to 0.</t>
  </si>
  <si>
    <t xml:space="preserve">GPU: </t>
  </si>
  <si>
    <t>Option 1 uses a technology approach as specified in ICAO Doc 9889; tPN data for the 1995-2005 technology is the same as for 2000-2015.</t>
  </si>
  <si>
    <t>De-icing:</t>
  </si>
  <si>
    <t>Emissions include all vehicle and machinery emissions at the aircraft stand during the servicing of the aircraft; it does not include any airside vehicle or additional road emissions.</t>
  </si>
  <si>
    <t xml:space="preserve">Maintenance: </t>
  </si>
  <si>
    <t>Option 2 uses a fuel approach as specified in ICAO Doc 9889; tPN data has been derived from the option 1.</t>
  </si>
  <si>
    <t>Results:</t>
  </si>
  <si>
    <t>Source for per Capita CO2 in 2014: World Development Indicators (Worldbank)</t>
  </si>
  <si>
    <t>nvPN (#)</t>
  </si>
  <si>
    <t>EI LTO (without taxi)</t>
  </si>
  <si>
    <t>EI Taxi</t>
  </si>
  <si>
    <t>Drop Downs</t>
  </si>
  <si>
    <t>Factors</t>
  </si>
  <si>
    <t>Colors:</t>
  </si>
  <si>
    <t>Aircraft Maintenance</t>
  </si>
  <si>
    <t>NOx (kg)</t>
  </si>
  <si>
    <t>SOx (kg)</t>
  </si>
  <si>
    <t>3GE069</t>
  </si>
  <si>
    <t>1GE010</t>
  </si>
  <si>
    <t>3CM027</t>
  </si>
  <si>
    <t>3CM026</t>
  </si>
  <si>
    <t>15PW105</t>
  </si>
  <si>
    <t>3CM023</t>
  </si>
  <si>
    <t>15PW108</t>
  </si>
  <si>
    <t>9PW094</t>
  </si>
  <si>
    <t>7CM047</t>
  </si>
  <si>
    <t>1ZM001</t>
  </si>
  <si>
    <t>1TL004</t>
  </si>
  <si>
    <t>4BR002</t>
  </si>
  <si>
    <t>1CM004</t>
  </si>
  <si>
    <t>3CM032</t>
  </si>
  <si>
    <t>2GE043</t>
  </si>
  <si>
    <t>1RR012</t>
  </si>
  <si>
    <t>2GE036</t>
  </si>
  <si>
    <t>2RR027</t>
  </si>
  <si>
    <t>11GE136</t>
  </si>
  <si>
    <t>1TL001</t>
  </si>
  <si>
    <t>7PW078</t>
  </si>
  <si>
    <t>8AL025</t>
  </si>
  <si>
    <t>1PW035</t>
  </si>
  <si>
    <t>5GE084</t>
  </si>
  <si>
    <t>5GE083</t>
  </si>
  <si>
    <t>8GE110</t>
  </si>
  <si>
    <t>4AL003</t>
  </si>
  <si>
    <t>8GE113</t>
  </si>
  <si>
    <t>8GE114</t>
  </si>
  <si>
    <t>6AL015</t>
  </si>
  <si>
    <t>1AS002</t>
  </si>
  <si>
    <t>1RR020</t>
  </si>
  <si>
    <t>4RR035</t>
  </si>
  <si>
    <t>7PW077</t>
  </si>
  <si>
    <t>4BR009</t>
  </si>
  <si>
    <t>7PW079</t>
  </si>
  <si>
    <t>1AA005</t>
  </si>
  <si>
    <t>1AS001</t>
  </si>
  <si>
    <t>1PW052</t>
  </si>
  <si>
    <t>4PW071</t>
  </si>
  <si>
    <t>1IA002</t>
  </si>
  <si>
    <t>3RR028</t>
  </si>
  <si>
    <t>Code</t>
  </si>
  <si>
    <t>Engine</t>
  </si>
  <si>
    <t>Synonyms</t>
  </si>
  <si>
    <t>nvPMF_To</t>
  </si>
  <si>
    <t>nvPMF_Cl</t>
  </si>
  <si>
    <t>nvPMF_App</t>
  </si>
  <si>
    <t>nvPMF_Taxi</t>
  </si>
  <si>
    <t>PMF_To</t>
  </si>
  <si>
    <t>PMF_Cl</t>
  </si>
  <si>
    <t>PMF_App</t>
  </si>
  <si>
    <t>PMF_Taxi</t>
  </si>
  <si>
    <t>nvPNF_To</t>
  </si>
  <si>
    <t>nvPNF_Cl</t>
  </si>
  <si>
    <t>nvPNF_App</t>
  </si>
  <si>
    <t>nvPNF_Taxi</t>
  </si>
  <si>
    <t>EV</t>
  </si>
  <si>
    <t>Remarks</t>
  </si>
  <si>
    <t>Mutationsdatum</t>
  </si>
  <si>
    <t>B001</t>
  </si>
  <si>
    <t>FOCA</t>
  </si>
  <si>
    <t>B</t>
  </si>
  <si>
    <t>BJ-16kN</t>
  </si>
  <si>
    <t>Small jets up to 16 kN</t>
  </si>
  <si>
    <t>diverse</t>
  </si>
  <si>
    <t/>
  </si>
  <si>
    <t>B002</t>
  </si>
  <si>
    <t>BJ&gt;16kN</t>
  </si>
  <si>
    <t>Small jets 16.1 to 26.7 kN</t>
  </si>
  <si>
    <t>B003</t>
  </si>
  <si>
    <t>PW530A</t>
  </si>
  <si>
    <t>PW530</t>
  </si>
  <si>
    <t>Pratt &amp; Whitney</t>
  </si>
  <si>
    <t>uncertified manufacturer data</t>
  </si>
  <si>
    <t>B004</t>
  </si>
  <si>
    <t>uncertified manufacturer data, PM soot: DLR/FOCA</t>
  </si>
  <si>
    <t>B005</t>
  </si>
  <si>
    <t>PW535E</t>
  </si>
  <si>
    <t>PW535</t>
  </si>
  <si>
    <t>based on B003 with FOCA Turbofan FOA</t>
  </si>
  <si>
    <t>B008</t>
  </si>
  <si>
    <t>PW615F-A</t>
  </si>
  <si>
    <t>PW615</t>
  </si>
  <si>
    <t>B010</t>
  </si>
  <si>
    <t>PW617F-E</t>
  </si>
  <si>
    <t>PW617</t>
  </si>
  <si>
    <t>B051</t>
  </si>
  <si>
    <t>TFE731-2-2B</t>
  </si>
  <si>
    <t>TFE731, -1..., -2...</t>
  </si>
  <si>
    <t>Honeywell</t>
  </si>
  <si>
    <t>out of prod.</t>
  </si>
  <si>
    <t>B052</t>
  </si>
  <si>
    <t>TFE731-3-...</t>
  </si>
  <si>
    <t>B071</t>
  </si>
  <si>
    <t>JT15D-1</t>
  </si>
  <si>
    <t>JT15D-1..., -2..., -3...</t>
  </si>
  <si>
    <t>B072</t>
  </si>
  <si>
    <t>1PW036</t>
  </si>
  <si>
    <t>JT15D-4</t>
  </si>
  <si>
    <t>JT15D-4...</t>
  </si>
  <si>
    <t>B073</t>
  </si>
  <si>
    <t>1PW037</t>
  </si>
  <si>
    <t>JT15D-5</t>
  </si>
  <si>
    <t>JT15D-5, -5A, -5B</t>
  </si>
  <si>
    <t>B074</t>
  </si>
  <si>
    <t>1PW038</t>
  </si>
  <si>
    <t>JT15D-5C</t>
  </si>
  <si>
    <t>B075</t>
  </si>
  <si>
    <t>PW</t>
  </si>
  <si>
    <t>PW545B</t>
  </si>
  <si>
    <t>B076</t>
  </si>
  <si>
    <t>PW545C</t>
  </si>
  <si>
    <t>B081</t>
  </si>
  <si>
    <t>PW305</t>
  </si>
  <si>
    <t>B101</t>
  </si>
  <si>
    <t>FAEED222</t>
  </si>
  <si>
    <t>CF700-2D</t>
  </si>
  <si>
    <t>CF700-...</t>
  </si>
  <si>
    <t>General Electric</t>
  </si>
  <si>
    <t>B106</t>
  </si>
  <si>
    <t>FAEED221</t>
  </si>
  <si>
    <t>CJ610-6</t>
  </si>
  <si>
    <t>CJ610-6...</t>
  </si>
  <si>
    <t>Ivchenko</t>
  </si>
  <si>
    <t>B130</t>
  </si>
  <si>
    <t>TFE738-1-1B</t>
  </si>
  <si>
    <t>B131</t>
  </si>
  <si>
    <t>TFE731-5</t>
  </si>
  <si>
    <t>B132</t>
  </si>
  <si>
    <t>TFE731-5A</t>
  </si>
  <si>
    <t>B133</t>
  </si>
  <si>
    <t>TFE731-5B</t>
  </si>
  <si>
    <t>B134</t>
  </si>
  <si>
    <t>TFE731-60-1C</t>
  </si>
  <si>
    <t>B135</t>
  </si>
  <si>
    <t>TFE731-40-1C</t>
  </si>
  <si>
    <t>B136</t>
  </si>
  <si>
    <t>B137</t>
  </si>
  <si>
    <t>TFE731-20</t>
  </si>
  <si>
    <t>B138</t>
  </si>
  <si>
    <t>TFE731-50</t>
  </si>
  <si>
    <t>B300</t>
  </si>
  <si>
    <t>Williams International</t>
  </si>
  <si>
    <t>uncertified manufacturer data, SN from B302</t>
  </si>
  <si>
    <t>B301</t>
  </si>
  <si>
    <t>FJ44-1AP</t>
  </si>
  <si>
    <t>B302</t>
  </si>
  <si>
    <t>FJ44-1C</t>
  </si>
  <si>
    <t>B305</t>
  </si>
  <si>
    <t>FJ44-2A/2C</t>
  </si>
  <si>
    <t>B310</t>
  </si>
  <si>
    <t>FJ44-3A</t>
  </si>
  <si>
    <t>B311</t>
  </si>
  <si>
    <t>FJ44-4A</t>
  </si>
  <si>
    <t>B315</t>
  </si>
  <si>
    <t>FJ33-4A</t>
  </si>
  <si>
    <t>B320</t>
  </si>
  <si>
    <t>PW306D</t>
  </si>
  <si>
    <t>PW306D1</t>
  </si>
  <si>
    <t>Derived data</t>
  </si>
  <si>
    <t>H001</t>
  </si>
  <si>
    <t>H</t>
  </si>
  <si>
    <t>H &lt; 1000SHP</t>
  </si>
  <si>
    <t>Single Engine Heli &lt; 1000SHP (ARRIEL 2B)</t>
  </si>
  <si>
    <t>Single Engine, Cl 87%, App 46%, Taxi 13%</t>
  </si>
  <si>
    <t>H002</t>
  </si>
  <si>
    <t>H &gt; 1000SHP</t>
  </si>
  <si>
    <t>Large Twin Heli &gt; 1000SHP/engine</t>
  </si>
  <si>
    <t>Based on Makila, CL66%, AP32%, TA6%</t>
  </si>
  <si>
    <t>H003</t>
  </si>
  <si>
    <t>Single Engine Heli &gt; 1000SHP</t>
  </si>
  <si>
    <t>Turboshaft over 1000 SHP, based on Makila</t>
  </si>
  <si>
    <t>H010</t>
  </si>
  <si>
    <t>PT6B-35H</t>
  </si>
  <si>
    <t>H011</t>
  </si>
  <si>
    <t>PT6B-36A (for S76)</t>
  </si>
  <si>
    <t>H012</t>
  </si>
  <si>
    <t>PT6B-36B</t>
  </si>
  <si>
    <t>H013</t>
  </si>
  <si>
    <t>PT6B-37</t>
  </si>
  <si>
    <t>PT6B-37 (for A119 Koala)</t>
  </si>
  <si>
    <t>H014</t>
  </si>
  <si>
    <t>PT6T-3</t>
  </si>
  <si>
    <t>PT6T-3 (for B412)</t>
  </si>
  <si>
    <t>H015</t>
  </si>
  <si>
    <t>PT6T-3B</t>
  </si>
  <si>
    <t>H016</t>
  </si>
  <si>
    <t>PT6T-3BE</t>
  </si>
  <si>
    <t>H017</t>
  </si>
  <si>
    <t>PT6T-3D</t>
  </si>
  <si>
    <t>H018</t>
  </si>
  <si>
    <t>PT6T-6</t>
  </si>
  <si>
    <t>H019</t>
  </si>
  <si>
    <t>PW206A</t>
  </si>
  <si>
    <t>PW206A (for MD900)</t>
  </si>
  <si>
    <t>H020</t>
  </si>
  <si>
    <t>PW206B (for EC135)</t>
  </si>
  <si>
    <t>H021</t>
  </si>
  <si>
    <t>PW206C (for A109)</t>
  </si>
  <si>
    <t>H022</t>
  </si>
  <si>
    <t>PW206D</t>
  </si>
  <si>
    <t>H023</t>
  </si>
  <si>
    <t>PW206E</t>
  </si>
  <si>
    <t>H024</t>
  </si>
  <si>
    <t>H030</t>
  </si>
  <si>
    <t>PW207C</t>
  </si>
  <si>
    <t>H031</t>
  </si>
  <si>
    <t>PW207D</t>
  </si>
  <si>
    <t>H032</t>
  </si>
  <si>
    <t>PW207E</t>
  </si>
  <si>
    <t>H040</t>
  </si>
  <si>
    <t>PW210A</t>
  </si>
  <si>
    <t>PW210</t>
  </si>
  <si>
    <t>Turboshaft, CL 66%, AP 32%, GI 6%</t>
  </si>
  <si>
    <t>H045</t>
  </si>
  <si>
    <t>H101</t>
  </si>
  <si>
    <t>ARRIEL 1A</t>
  </si>
  <si>
    <t>ARRIEL 1A1; ARRIEL 1A2</t>
  </si>
  <si>
    <t>Turbomeca</t>
  </si>
  <si>
    <t>H102</t>
  </si>
  <si>
    <t>ARRIEL 1B</t>
  </si>
  <si>
    <t>H103</t>
  </si>
  <si>
    <t>ARRIEL 1C</t>
  </si>
  <si>
    <t>H104</t>
  </si>
  <si>
    <t>ARRIEL 1C1</t>
  </si>
  <si>
    <t>H105</t>
  </si>
  <si>
    <t>ARRIEL 1C2</t>
  </si>
  <si>
    <t>H106</t>
  </si>
  <si>
    <t>ARRIEL 1D1</t>
  </si>
  <si>
    <t>H107</t>
  </si>
  <si>
    <t>H108</t>
  </si>
  <si>
    <t>ARRIEL 1E1</t>
  </si>
  <si>
    <t>ARRIEL 1K1</t>
  </si>
  <si>
    <t>H109</t>
  </si>
  <si>
    <t>ARRIEL 1E2</t>
  </si>
  <si>
    <t>Small Twin Heli &lt; 1000SHP/engine</t>
  </si>
  <si>
    <t>H110</t>
  </si>
  <si>
    <t>ARRIEL 2B</t>
  </si>
  <si>
    <t>ARRIEL 2B1</t>
  </si>
  <si>
    <t>H111</t>
  </si>
  <si>
    <t>ARRIEL 2C</t>
  </si>
  <si>
    <t>ARRIEL 2C1</t>
  </si>
  <si>
    <t>H112</t>
  </si>
  <si>
    <t>ARRIEL 2C2</t>
  </si>
  <si>
    <t>H113</t>
  </si>
  <si>
    <t>ARRIEL 2D</t>
  </si>
  <si>
    <t>H114</t>
  </si>
  <si>
    <t>ARRIEL 2S1</t>
  </si>
  <si>
    <t>H115</t>
  </si>
  <si>
    <t>ARRIEL 2S2</t>
  </si>
  <si>
    <t>H121</t>
  </si>
  <si>
    <t>ARRIUS 1A</t>
  </si>
  <si>
    <t>ARRIUS 1A1</t>
  </si>
  <si>
    <t>H122</t>
  </si>
  <si>
    <t>ARRIUS 2B1</t>
  </si>
  <si>
    <t>ARRIUS 2B2</t>
  </si>
  <si>
    <t>H123</t>
  </si>
  <si>
    <t>ARRIUS 2F</t>
  </si>
  <si>
    <t>H124</t>
  </si>
  <si>
    <t>ARRIUS 2K</t>
  </si>
  <si>
    <t>H131</t>
  </si>
  <si>
    <t>ARTOUSTE IIC</t>
  </si>
  <si>
    <t>ARTOUSTE IIC5/6</t>
  </si>
  <si>
    <t>H132</t>
  </si>
  <si>
    <t>ARTOUSTE IIIB</t>
  </si>
  <si>
    <t>ARTOUSTE IIIB1</t>
  </si>
  <si>
    <t>H133</t>
  </si>
  <si>
    <t>H141</t>
  </si>
  <si>
    <t>Astazou III</t>
  </si>
  <si>
    <t>Astazou IIIA, Astazou IIIN2</t>
  </si>
  <si>
    <t>H142</t>
  </si>
  <si>
    <t>ASTAZOU XI</t>
  </si>
  <si>
    <t>ASTAZOU XIVB, ASTAZOU XIVG, ASTAZOU XIVH</t>
  </si>
  <si>
    <t>H151</t>
  </si>
  <si>
    <t>MTR 390</t>
  </si>
  <si>
    <t>H161</t>
  </si>
  <si>
    <t>TM 333-2B2</t>
  </si>
  <si>
    <t>H171</t>
  </si>
  <si>
    <t>Palouste IV</t>
  </si>
  <si>
    <t>H181</t>
  </si>
  <si>
    <t>Turmo IV</t>
  </si>
  <si>
    <t>H201</t>
  </si>
  <si>
    <t>DDA250-C18</t>
  </si>
  <si>
    <t>Rolls Royce</t>
  </si>
  <si>
    <t>H202</t>
  </si>
  <si>
    <t>DDA250-C20</t>
  </si>
  <si>
    <t>DDA250-C20B/F</t>
  </si>
  <si>
    <t>H203</t>
  </si>
  <si>
    <t>DDA250-C20B/J/W</t>
  </si>
  <si>
    <t>H204</t>
  </si>
  <si>
    <t>DDA250-C20R</t>
  </si>
  <si>
    <t>DDA250-C20R/2/4</t>
  </si>
  <si>
    <t>H205</t>
  </si>
  <si>
    <t>DDA250-C20R/1</t>
  </si>
  <si>
    <t>H206</t>
  </si>
  <si>
    <t>DDA250-C30</t>
  </si>
  <si>
    <t>H207</t>
  </si>
  <si>
    <t>DDA250-C30S</t>
  </si>
  <si>
    <t>H208</t>
  </si>
  <si>
    <t>DDA250-C40</t>
  </si>
  <si>
    <t>DDA250-C40B</t>
  </si>
  <si>
    <t>H211</t>
  </si>
  <si>
    <t>GEM 42-1</t>
  </si>
  <si>
    <t>H221</t>
  </si>
  <si>
    <t>RR 250-C47M</t>
  </si>
  <si>
    <t>H222</t>
  </si>
  <si>
    <t>RR T63-A-720</t>
  </si>
  <si>
    <t>H231</t>
  </si>
  <si>
    <t>GNOME H-1200</t>
  </si>
  <si>
    <t>H301</t>
  </si>
  <si>
    <t>LTS101-750B.1</t>
  </si>
  <si>
    <t>LTS101-750C.1</t>
  </si>
  <si>
    <t>H302</t>
  </si>
  <si>
    <t>LTS-101-700D2</t>
  </si>
  <si>
    <t>H303</t>
  </si>
  <si>
    <t>T53 17A-1</t>
  </si>
  <si>
    <t>T53 L13</t>
  </si>
  <si>
    <t>H304</t>
  </si>
  <si>
    <t>T53-09A</t>
  </si>
  <si>
    <t>H305</t>
  </si>
  <si>
    <t>T55-GA-714A</t>
  </si>
  <si>
    <t>H307</t>
  </si>
  <si>
    <t>HTS900-2</t>
  </si>
  <si>
    <t>H401</t>
  </si>
  <si>
    <t>ISOTOW GTD-350</t>
  </si>
  <si>
    <t>ISOTOW GTD-350-4</t>
  </si>
  <si>
    <t>H402</t>
  </si>
  <si>
    <t>TV2-117 (two engines)</t>
  </si>
  <si>
    <t>TV2-117</t>
  </si>
  <si>
    <t>H403</t>
  </si>
  <si>
    <t>TV3-117 VMA (two engines)</t>
  </si>
  <si>
    <t>TV3-117 VMA</t>
  </si>
  <si>
    <t>H501</t>
  </si>
  <si>
    <t>T64-GE-7</t>
  </si>
  <si>
    <t>H502</t>
  </si>
  <si>
    <t>T64-GE-416</t>
  </si>
  <si>
    <t>H503</t>
  </si>
  <si>
    <t>T700-GE-401</t>
  </si>
  <si>
    <t>T700-GE-700</t>
  </si>
  <si>
    <t>H505</t>
  </si>
  <si>
    <t>GE-CT7-6</t>
  </si>
  <si>
    <t>H506</t>
  </si>
  <si>
    <t>GE CT7-8A</t>
  </si>
  <si>
    <t>H701</t>
  </si>
  <si>
    <t>LO D-136</t>
  </si>
  <si>
    <t>H801</t>
  </si>
  <si>
    <t>PZL-10W</t>
  </si>
  <si>
    <t>H901</t>
  </si>
  <si>
    <t>T62T</t>
  </si>
  <si>
    <t>T62T-32</t>
  </si>
  <si>
    <t>HF30</t>
  </si>
  <si>
    <t>Makila 1A1</t>
  </si>
  <si>
    <t>Makila ( for Puma/Cougar)</t>
  </si>
  <si>
    <t>HP40</t>
  </si>
  <si>
    <t>HP</t>
  </si>
  <si>
    <t>HO-320</t>
  </si>
  <si>
    <t>HO-320… (Heli)</t>
  </si>
  <si>
    <t>Textron Lycoming</t>
  </si>
  <si>
    <t>FOCA Helicopter FOA</t>
  </si>
  <si>
    <t>HP41</t>
  </si>
  <si>
    <t>HO-360</t>
  </si>
  <si>
    <t>HO-360… (Heli)</t>
  </si>
  <si>
    <t>HP42</t>
  </si>
  <si>
    <t>HIO-360</t>
  </si>
  <si>
    <t>HIO-360… (Heli)</t>
  </si>
  <si>
    <t>HP43</t>
  </si>
  <si>
    <t>HO-540</t>
  </si>
  <si>
    <t>HO-540… (Heli)</t>
  </si>
  <si>
    <t>HP44</t>
  </si>
  <si>
    <t>HIO-540</t>
  </si>
  <si>
    <t>HIO-540… (Heli)</t>
  </si>
  <si>
    <t>HP50</t>
  </si>
  <si>
    <t>Rotax 582 DCDI Heli</t>
  </si>
  <si>
    <t>Rotax 582 Heli</t>
  </si>
  <si>
    <t>Rotax</t>
  </si>
  <si>
    <t>Based on PF09</t>
  </si>
  <si>
    <t>HP51</t>
  </si>
  <si>
    <t>Rotax 912S Heli</t>
  </si>
  <si>
    <t>Rotax 912S…Heli</t>
  </si>
  <si>
    <t>Based on PF05</t>
  </si>
  <si>
    <t>HP61</t>
  </si>
  <si>
    <t>RR RW-152/D</t>
  </si>
  <si>
    <t>RR RI-162</t>
  </si>
  <si>
    <t>HP62</t>
  </si>
  <si>
    <t>RR RW-133</t>
  </si>
  <si>
    <t>HP71</t>
  </si>
  <si>
    <t>6V-335</t>
  </si>
  <si>
    <t>6V4-200</t>
  </si>
  <si>
    <t>HP81</t>
  </si>
  <si>
    <t>HP82</t>
  </si>
  <si>
    <t>J005</t>
  </si>
  <si>
    <t>11PW100</t>
  </si>
  <si>
    <t>J</t>
  </si>
  <si>
    <t>PW307A</t>
  </si>
  <si>
    <t>J006</t>
  </si>
  <si>
    <t>16PW114</t>
  </si>
  <si>
    <t>PW307A (from 2012)</t>
  </si>
  <si>
    <t>J010</t>
  </si>
  <si>
    <t>1CM001</t>
  </si>
  <si>
    <t>CFM56-2A</t>
  </si>
  <si>
    <t>CFM56-2A, -2A2, -2A3 series</t>
  </si>
  <si>
    <t>CFM International</t>
  </si>
  <si>
    <t>J011</t>
  </si>
  <si>
    <t>Miljets &gt; 26.7kN</t>
  </si>
  <si>
    <t>GE F404 (F/A 18)</t>
  </si>
  <si>
    <t>AESO Report No 4, 1985, Afterburner 4.46 kg/s</t>
  </si>
  <si>
    <t>J012</t>
  </si>
  <si>
    <t>1CM003</t>
  </si>
  <si>
    <t>CFM56-2-C5</t>
  </si>
  <si>
    <t>CFM56-2-C...</t>
  </si>
  <si>
    <t>J013</t>
  </si>
  <si>
    <t>1CM002</t>
  </si>
  <si>
    <t>CFM56-2B-1</t>
  </si>
  <si>
    <t>CFM56-2B...</t>
  </si>
  <si>
    <t>J014</t>
  </si>
  <si>
    <t>Miljets &lt; 26.7 kN</t>
  </si>
  <si>
    <t>GE J85 (TigerF5-E)</t>
  </si>
  <si>
    <t>AEDC-TR-72-64, AFAPL-TR-76-20, AB 0.84 kg/s 22 kN</t>
  </si>
  <si>
    <t>J015</t>
  </si>
  <si>
    <t>10GE129</t>
  </si>
  <si>
    <t>CF34-10E5</t>
  </si>
  <si>
    <t>J016</t>
  </si>
  <si>
    <t>10GE131</t>
  </si>
  <si>
    <t>CF34-10E6</t>
  </si>
  <si>
    <t>J017</t>
  </si>
  <si>
    <t>10GE130</t>
  </si>
  <si>
    <t>CF34-10E5A1</t>
  </si>
  <si>
    <t>J018</t>
  </si>
  <si>
    <t>10GE132</t>
  </si>
  <si>
    <t>CF34-10E6A1</t>
  </si>
  <si>
    <t>J019</t>
  </si>
  <si>
    <t>10GE133</t>
  </si>
  <si>
    <t>CF34-10E7</t>
  </si>
  <si>
    <t>J020</t>
  </si>
  <si>
    <t>CFM56-3-B1</t>
  </si>
  <si>
    <t>CFM56-3C-1/-3B-2 if 89.4 kN</t>
  </si>
  <si>
    <t>out of prod., -3C-1 and -3B-2 for B737-300</t>
  </si>
  <si>
    <t>J021</t>
  </si>
  <si>
    <t>1CM005</t>
  </si>
  <si>
    <t>CFM56-3B-2</t>
  </si>
  <si>
    <t>-3C-1 if 98.3 kN</t>
  </si>
  <si>
    <t>out of prod., -3C1  for B737-300 and -400</t>
  </si>
  <si>
    <t>J022</t>
  </si>
  <si>
    <t>1CM007</t>
  </si>
  <si>
    <t>CFM56-3C-1</t>
  </si>
  <si>
    <t>CFM56-3C-...</t>
  </si>
  <si>
    <t>J023</t>
  </si>
  <si>
    <t>1CM006</t>
  </si>
  <si>
    <t>CFM56-3C-1 (rerated)</t>
  </si>
  <si>
    <t>CFM56-3-B4/-3C, -3-B1 if 82.3 kN</t>
  </si>
  <si>
    <t>rerated, out of prod., -3-B1 for B737-500</t>
  </si>
  <si>
    <t>J024</t>
  </si>
  <si>
    <t>8CM060</t>
  </si>
  <si>
    <t>CFM56-5B9/3</t>
  </si>
  <si>
    <t>Tech Insertion</t>
  </si>
  <si>
    <t>J025</t>
  </si>
  <si>
    <t>7CM049</t>
  </si>
  <si>
    <t>CFM56-5B9/P</t>
  </si>
  <si>
    <t>Calvert SN calculation</t>
  </si>
  <si>
    <t>J026</t>
  </si>
  <si>
    <t>7CM050</t>
  </si>
  <si>
    <t>CFM56-5B9/2P</t>
  </si>
  <si>
    <t>J027</t>
  </si>
  <si>
    <t>7CM045</t>
  </si>
  <si>
    <t>CFM56-5C2/P</t>
  </si>
  <si>
    <t>J028</t>
  </si>
  <si>
    <t>7CM046</t>
  </si>
  <si>
    <t>CFM56-5C3/P</t>
  </si>
  <si>
    <t>J029</t>
  </si>
  <si>
    <t>CFM56-5C4/P</t>
  </si>
  <si>
    <t>J030</t>
  </si>
  <si>
    <t>1CM008</t>
  </si>
  <si>
    <t>CFM56-5-A1</t>
  </si>
  <si>
    <t>J031</t>
  </si>
  <si>
    <t>11CM067</t>
  </si>
  <si>
    <t>CFM56-7B20E</t>
  </si>
  <si>
    <t>J032</t>
  </si>
  <si>
    <t>11CM068</t>
  </si>
  <si>
    <t>CFM56-7B22E</t>
  </si>
  <si>
    <t>J033</t>
  </si>
  <si>
    <t>11CM069</t>
  </si>
  <si>
    <t>CFM56-7B22E/B1</t>
  </si>
  <si>
    <t>J034</t>
  </si>
  <si>
    <t>11CM070</t>
  </si>
  <si>
    <t>CFM56-7B24E</t>
  </si>
  <si>
    <t>J035</t>
  </si>
  <si>
    <t>8CM066</t>
  </si>
  <si>
    <t>CFM56-7B27/3</t>
  </si>
  <si>
    <t>J036</t>
  </si>
  <si>
    <t>11CM072</t>
  </si>
  <si>
    <t>CFM56-7B26E</t>
  </si>
  <si>
    <t>J037</t>
  </si>
  <si>
    <t>11CM073</t>
  </si>
  <si>
    <t>CFM56-7B26E/B1</t>
  </si>
  <si>
    <t>J038</t>
  </si>
  <si>
    <t>11CM074</t>
  </si>
  <si>
    <t>CFM56-7B26E/B2</t>
  </si>
  <si>
    <t>J039</t>
  </si>
  <si>
    <t>11CM075</t>
  </si>
  <si>
    <t>CFM56-7B26E/F</t>
  </si>
  <si>
    <t>J040</t>
  </si>
  <si>
    <t>1CM009</t>
  </si>
  <si>
    <t>CFM56-5A3</t>
  </si>
  <si>
    <t>J041</t>
  </si>
  <si>
    <t>1CM010</t>
  </si>
  <si>
    <t>CFM56-5C2</t>
  </si>
  <si>
    <t>J042</t>
  </si>
  <si>
    <t>1CM011</t>
  </si>
  <si>
    <t>CFM56-5C3</t>
  </si>
  <si>
    <t>J043</t>
  </si>
  <si>
    <t>2CM015</t>
  </si>
  <si>
    <t>CFM56-5C4</t>
  </si>
  <si>
    <t>J044</t>
  </si>
  <si>
    <t>8CM061</t>
  </si>
  <si>
    <t>CFM56-7B18/3</t>
  </si>
  <si>
    <t>J045</t>
  </si>
  <si>
    <t>8CM062</t>
  </si>
  <si>
    <t>CFM56-7B20/3</t>
  </si>
  <si>
    <t>J046</t>
  </si>
  <si>
    <t>8CM063</t>
  </si>
  <si>
    <t>CFM56-7B22/3</t>
  </si>
  <si>
    <t>J047</t>
  </si>
  <si>
    <t>4CM036</t>
  </si>
  <si>
    <t>CFM56-5A5</t>
  </si>
  <si>
    <t>J048</t>
  </si>
  <si>
    <t>8CM064</t>
  </si>
  <si>
    <t>CFM56-7B24/3</t>
  </si>
  <si>
    <t>J049</t>
  </si>
  <si>
    <t>8CM065</t>
  </si>
  <si>
    <t>CFM56-7B26/3</t>
  </si>
  <si>
    <t>J050</t>
  </si>
  <si>
    <t>2CM016</t>
  </si>
  <si>
    <t>CFM56-5B1/2</t>
  </si>
  <si>
    <t>CFM56-5B1 DAC (LowNOx)</t>
  </si>
  <si>
    <t>J051</t>
  </si>
  <si>
    <t>2CM017</t>
  </si>
  <si>
    <t>CFM56-5B2/2</t>
  </si>
  <si>
    <t>CFM56-5B2 DAC (LowNOx)</t>
  </si>
  <si>
    <t>J052</t>
  </si>
  <si>
    <t>2CM018</t>
  </si>
  <si>
    <t>CFM56-5B4/2</t>
  </si>
  <si>
    <t>CFM56-5B4 DAC (LowNOx)</t>
  </si>
  <si>
    <t>J053</t>
  </si>
  <si>
    <t>2CM019</t>
  </si>
  <si>
    <t>CFM56-5B6/2</t>
  </si>
  <si>
    <t>CFM56-5B6 DAC (LowNOx)</t>
  </si>
  <si>
    <t>J054</t>
  </si>
  <si>
    <t>8CM054</t>
  </si>
  <si>
    <t>CFM56-5B3/3</t>
  </si>
  <si>
    <t>J055</t>
  </si>
  <si>
    <t>3CM020</t>
  </si>
  <si>
    <t>CFM56-5B1/2P</t>
  </si>
  <si>
    <t>DAC II</t>
  </si>
  <si>
    <t>J056</t>
  </si>
  <si>
    <t>3CM021</t>
  </si>
  <si>
    <t>CFM56-5B4/2P</t>
  </si>
  <si>
    <t>J057</t>
  </si>
  <si>
    <t>3CM022</t>
  </si>
  <si>
    <t>CFM56-5B6/2P</t>
  </si>
  <si>
    <t>J058</t>
  </si>
  <si>
    <t>8CM052</t>
  </si>
  <si>
    <t>CFM56-5B1/3</t>
  </si>
  <si>
    <t>J059</t>
  </si>
  <si>
    <t>8CM053</t>
  </si>
  <si>
    <t>CFM56-5B2/3</t>
  </si>
  <si>
    <t>J060</t>
  </si>
  <si>
    <t>2CM012</t>
  </si>
  <si>
    <t>CFM56-5B1</t>
  </si>
  <si>
    <t>CFM56-5B1 SAC</t>
  </si>
  <si>
    <t>J061</t>
  </si>
  <si>
    <t>2CM013</t>
  </si>
  <si>
    <t>CFM56-5B2</t>
  </si>
  <si>
    <t>CFM56-5B2 SAC</t>
  </si>
  <si>
    <t>J062</t>
  </si>
  <si>
    <t>4CM038</t>
  </si>
  <si>
    <t>CFM56-5B3/2P</t>
  </si>
  <si>
    <t>J063</t>
  </si>
  <si>
    <t>2CM014</t>
  </si>
  <si>
    <t>CFM56-5B4</t>
  </si>
  <si>
    <t>CFM56-5B4 SAC</t>
  </si>
  <si>
    <t>J064</t>
  </si>
  <si>
    <t>CFM56-5B1/P</t>
  </si>
  <si>
    <t>J065</t>
  </si>
  <si>
    <t>3CM024</t>
  </si>
  <si>
    <t>CFM56-5B2/P</t>
  </si>
  <si>
    <t>J066</t>
  </si>
  <si>
    <t>3CM025</t>
  </si>
  <si>
    <t>CFM56-5B3/P</t>
  </si>
  <si>
    <t>J067</t>
  </si>
  <si>
    <t>CFM56-5B4/P</t>
  </si>
  <si>
    <t>J068</t>
  </si>
  <si>
    <t>CFM56-5B5/P</t>
  </si>
  <si>
    <t>J069</t>
  </si>
  <si>
    <t>3CM028</t>
  </si>
  <si>
    <t>CFM56-5B6/P</t>
  </si>
  <si>
    <t>J070</t>
  </si>
  <si>
    <t>3CM029</t>
  </si>
  <si>
    <t>CFM56-7B18</t>
  </si>
  <si>
    <t>J071</t>
  </si>
  <si>
    <t>3CM030</t>
  </si>
  <si>
    <t>CFM56-7B20</t>
  </si>
  <si>
    <t>J072</t>
  </si>
  <si>
    <t>3CM031</t>
  </si>
  <si>
    <t>CFM56-7B22</t>
  </si>
  <si>
    <t>J073</t>
  </si>
  <si>
    <t>J074</t>
  </si>
  <si>
    <t>8CM051</t>
  </si>
  <si>
    <t>CFM56-7B26</t>
  </si>
  <si>
    <t>J075</t>
  </si>
  <si>
    <t>3CM034</t>
  </si>
  <si>
    <t>CFM56-7B27</t>
  </si>
  <si>
    <t>J076</t>
  </si>
  <si>
    <t>4CM035</t>
  </si>
  <si>
    <t>CFM56-5A4</t>
  </si>
  <si>
    <t>J077</t>
  </si>
  <si>
    <t>6CM044</t>
  </si>
  <si>
    <t>CFM56-5B7/P</t>
  </si>
  <si>
    <t>J078</t>
  </si>
  <si>
    <t>4CM037</t>
  </si>
  <si>
    <t>CFM56-5B2/2P</t>
  </si>
  <si>
    <t>J079</t>
  </si>
  <si>
    <t>7CM048</t>
  </si>
  <si>
    <t>CFM56-5B8/P</t>
  </si>
  <si>
    <t>J080</t>
  </si>
  <si>
    <t>4CM039</t>
  </si>
  <si>
    <t>CFM56-7B20/2</t>
  </si>
  <si>
    <t>J081</t>
  </si>
  <si>
    <t>4CM040</t>
  </si>
  <si>
    <t>CFM56-7B22/2</t>
  </si>
  <si>
    <t>J082</t>
  </si>
  <si>
    <t>4CM041</t>
  </si>
  <si>
    <t>CFM56-7B24/2</t>
  </si>
  <si>
    <t>J083</t>
  </si>
  <si>
    <t>4CM042</t>
  </si>
  <si>
    <t>CFM56-7B26/2</t>
  </si>
  <si>
    <t>J084</t>
  </si>
  <si>
    <t>4CM043</t>
  </si>
  <si>
    <t>CFM56-7B27/2</t>
  </si>
  <si>
    <t>J085</t>
  </si>
  <si>
    <t>8CM055</t>
  </si>
  <si>
    <t>CFM56-5B4/3</t>
  </si>
  <si>
    <t>J086</t>
  </si>
  <si>
    <t>8CM056</t>
  </si>
  <si>
    <t>CFM56-5B5/3</t>
  </si>
  <si>
    <t>J087</t>
  </si>
  <si>
    <t>8CM057</t>
  </si>
  <si>
    <t>CFM56-5B6/3</t>
  </si>
  <si>
    <t>J088</t>
  </si>
  <si>
    <t>8CM058</t>
  </si>
  <si>
    <t>CFM56-5B7/3</t>
  </si>
  <si>
    <t>J089</t>
  </si>
  <si>
    <t>8CM059</t>
  </si>
  <si>
    <t>CFM56-5B8/3</t>
  </si>
  <si>
    <t>J090</t>
  </si>
  <si>
    <t>1GE034</t>
  </si>
  <si>
    <t>CF34-3A</t>
  </si>
  <si>
    <t>CF34-1, -1A, -3, -3A</t>
  </si>
  <si>
    <t>LEC II</t>
  </si>
  <si>
    <t>J091</t>
  </si>
  <si>
    <t>1GE035</t>
  </si>
  <si>
    <t>CF34-3A1</t>
  </si>
  <si>
    <t>J092</t>
  </si>
  <si>
    <t>J093</t>
  </si>
  <si>
    <t>8GE105</t>
  </si>
  <si>
    <t>CF34-8E5A1</t>
  </si>
  <si>
    <t>J094</t>
  </si>
  <si>
    <t>J095</t>
  </si>
  <si>
    <t>CF34-8E2</t>
  </si>
  <si>
    <t>J096</t>
  </si>
  <si>
    <t>8GE108</t>
  </si>
  <si>
    <t>CF34-8E5</t>
  </si>
  <si>
    <t>J097</t>
  </si>
  <si>
    <t>6GE096</t>
  </si>
  <si>
    <t>CF34-8C1 Block 1</t>
  </si>
  <si>
    <t>J098</t>
  </si>
  <si>
    <t>CF34-3B</t>
  </si>
  <si>
    <t>Engine S/N 807-005</t>
  </si>
  <si>
    <t>J100</t>
  </si>
  <si>
    <t>CF34-10E2A1</t>
  </si>
  <si>
    <t>SAC</t>
  </si>
  <si>
    <t>J101</t>
  </si>
  <si>
    <t>1GE001</t>
  </si>
  <si>
    <t>CF6-6D</t>
  </si>
  <si>
    <t>J102</t>
  </si>
  <si>
    <t>1GE003</t>
  </si>
  <si>
    <t>CF6-6K</t>
  </si>
  <si>
    <t>J103</t>
  </si>
  <si>
    <t>1GE002</t>
  </si>
  <si>
    <t>CF6-6D1A</t>
  </si>
  <si>
    <t>CF6-6D...</t>
  </si>
  <si>
    <t>J104</t>
  </si>
  <si>
    <t>1GE004</t>
  </si>
  <si>
    <t>CF6-6K2</t>
  </si>
  <si>
    <t>CF6-6K...</t>
  </si>
  <si>
    <t>J105</t>
  </si>
  <si>
    <t>2GE046</t>
  </si>
  <si>
    <t>CF6-80C2B2F</t>
  </si>
  <si>
    <t>J106</t>
  </si>
  <si>
    <t>J107</t>
  </si>
  <si>
    <t>2GE047</t>
  </si>
  <si>
    <t>CF6-80C2B4F</t>
  </si>
  <si>
    <t>J108</t>
  </si>
  <si>
    <t>3GE057</t>
  </si>
  <si>
    <t>CF6-80C2B5F</t>
  </si>
  <si>
    <t>J109</t>
  </si>
  <si>
    <t>2GE044</t>
  </si>
  <si>
    <t>CF6-80C2B6</t>
  </si>
  <si>
    <t>J110</t>
  </si>
  <si>
    <t>2GE048</t>
  </si>
  <si>
    <t>CF6-80C2B6F</t>
  </si>
  <si>
    <t>J111</t>
  </si>
  <si>
    <t>2GE054</t>
  </si>
  <si>
    <t>CF6-80C2B7F</t>
  </si>
  <si>
    <t>J112</t>
  </si>
  <si>
    <t>2GE055</t>
  </si>
  <si>
    <t>J113</t>
  </si>
  <si>
    <t>3GE058</t>
  </si>
  <si>
    <t>CF6-80C2B8FA</t>
  </si>
  <si>
    <t>J114</t>
  </si>
  <si>
    <t>2GE049</t>
  </si>
  <si>
    <t>CF6-80C2D1F</t>
  </si>
  <si>
    <t>J115</t>
  </si>
  <si>
    <t>2GE050</t>
  </si>
  <si>
    <t>CF6-80E1A1</t>
  </si>
  <si>
    <t>J116</t>
  </si>
  <si>
    <t>2GE051</t>
  </si>
  <si>
    <t>CF6-80E1A2</t>
  </si>
  <si>
    <t>J117</t>
  </si>
  <si>
    <t>4GE081</t>
  </si>
  <si>
    <t>CF6-80E1A4</t>
  </si>
  <si>
    <t>J118</t>
  </si>
  <si>
    <t>2GE052</t>
  </si>
  <si>
    <t>GE90-76B</t>
  </si>
  <si>
    <t>DAC I, out of prod., SN TO, CL, AP estimated</t>
  </si>
  <si>
    <t>J119</t>
  </si>
  <si>
    <t>3GE062</t>
  </si>
  <si>
    <t>DAC II, 19. Jun 97 or later, out of prod</t>
  </si>
  <si>
    <t>J120</t>
  </si>
  <si>
    <t>3GE059</t>
  </si>
  <si>
    <t>GE90-77B</t>
  </si>
  <si>
    <t>DAC I, out of prod.</t>
  </si>
  <si>
    <t>J121</t>
  </si>
  <si>
    <t>3GE063</t>
  </si>
  <si>
    <t>DAC II, 19. Jun 97 or later, out of prod.</t>
  </si>
  <si>
    <t>J122</t>
  </si>
  <si>
    <t>2GE053</t>
  </si>
  <si>
    <t>GE90-85B</t>
  </si>
  <si>
    <t>J123</t>
  </si>
  <si>
    <t>6GE088</t>
  </si>
  <si>
    <t>DAC II, 12. Jan 00 or later</t>
  </si>
  <si>
    <t>J124</t>
  </si>
  <si>
    <t>5GE085</t>
  </si>
  <si>
    <t>CF6-80E1A3</t>
  </si>
  <si>
    <t>J125</t>
  </si>
  <si>
    <t>8GE115</t>
  </si>
  <si>
    <t>J126</t>
  </si>
  <si>
    <t>8GE117</t>
  </si>
  <si>
    <t>J127</t>
  </si>
  <si>
    <t>8GE116</t>
  </si>
  <si>
    <t>J128</t>
  </si>
  <si>
    <t>8GE118</t>
  </si>
  <si>
    <t>J129</t>
  </si>
  <si>
    <t>3GE067</t>
  </si>
  <si>
    <t>CF6-45A</t>
  </si>
  <si>
    <t>LEFN combustor, out of prod., taxi mode = idle</t>
  </si>
  <si>
    <t>J130</t>
  </si>
  <si>
    <t>1GE005</t>
  </si>
  <si>
    <t>CF6-45A2</t>
  </si>
  <si>
    <t>CF6-45...</t>
  </si>
  <si>
    <t>J131</t>
  </si>
  <si>
    <t>3GE068</t>
  </si>
  <si>
    <t>LEFN combustor, out of prod.; taxi mode = idle</t>
  </si>
  <si>
    <t>J132</t>
  </si>
  <si>
    <t>J133</t>
  </si>
  <si>
    <t>1GE018</t>
  </si>
  <si>
    <t>CF6-80C2A3</t>
  </si>
  <si>
    <t>J134</t>
  </si>
  <si>
    <t>1GE020</t>
  </si>
  <si>
    <t>CF6-80C2A5</t>
  </si>
  <si>
    <t>J136</t>
  </si>
  <si>
    <t>CF34-10E5A1, -10E6A1 and -10E7</t>
  </si>
  <si>
    <t>test data, uncertified</t>
  </si>
  <si>
    <t>J137</t>
  </si>
  <si>
    <t>8GE119</t>
  </si>
  <si>
    <t>J138</t>
  </si>
  <si>
    <t>8GE107</t>
  </si>
  <si>
    <t>CF34-8C5A1</t>
  </si>
  <si>
    <t>J139</t>
  </si>
  <si>
    <t>8GE104</t>
  </si>
  <si>
    <t>CF34-8C5A2</t>
  </si>
  <si>
    <t>J140</t>
  </si>
  <si>
    <t>1GE006</t>
  </si>
  <si>
    <t>CF6-50C</t>
  </si>
  <si>
    <t>CF6-50,A,B,C  -50C/CA</t>
  </si>
  <si>
    <t>J141</t>
  </si>
  <si>
    <t>1GE008</t>
  </si>
  <si>
    <t>CF6-50C2R</t>
  </si>
  <si>
    <t>J142</t>
  </si>
  <si>
    <t>1GE007</t>
  </si>
  <si>
    <t>CF6-50C1</t>
  </si>
  <si>
    <t>CF6-50C1, -50C1, -C2</t>
  </si>
  <si>
    <t>J143</t>
  </si>
  <si>
    <t>CF6-50C2</t>
  </si>
  <si>
    <t>CF6-50C2, -50C2...</t>
  </si>
  <si>
    <t>J144</t>
  </si>
  <si>
    <t>1GE009</t>
  </si>
  <si>
    <t>CF6-50E2</t>
  </si>
  <si>
    <t>CF6-50E2…</t>
  </si>
  <si>
    <t>J145</t>
  </si>
  <si>
    <t>3GE070</t>
  </si>
  <si>
    <t>J146</t>
  </si>
  <si>
    <t>CF6-80, -80A</t>
  </si>
  <si>
    <t>J147</t>
  </si>
  <si>
    <t>1GE011</t>
  </si>
  <si>
    <t>CF6-80A1</t>
  </si>
  <si>
    <t>J148</t>
  </si>
  <si>
    <t>1GE012</t>
  </si>
  <si>
    <t>CF6-80A2</t>
  </si>
  <si>
    <t>J149</t>
  </si>
  <si>
    <t>1GE013</t>
  </si>
  <si>
    <t>CF6-80A3</t>
  </si>
  <si>
    <t>CF6-80A3, -A...</t>
  </si>
  <si>
    <t>J150</t>
  </si>
  <si>
    <t>1GE014</t>
  </si>
  <si>
    <t>CF6-80C2A1</t>
  </si>
  <si>
    <t>CF6-80C2/A1</t>
  </si>
  <si>
    <t>J151</t>
  </si>
  <si>
    <t>J152</t>
  </si>
  <si>
    <t>1GE015</t>
  </si>
  <si>
    <t>CF6-80C2A2</t>
  </si>
  <si>
    <t>J153</t>
  </si>
  <si>
    <t>1GE016</t>
  </si>
  <si>
    <t>J154</t>
  </si>
  <si>
    <t>1GE017</t>
  </si>
  <si>
    <t>J155</t>
  </si>
  <si>
    <t>1GE019</t>
  </si>
  <si>
    <t>J156</t>
  </si>
  <si>
    <t>1GE021</t>
  </si>
  <si>
    <t>CF6-80C2A8</t>
  </si>
  <si>
    <t>J157</t>
  </si>
  <si>
    <t>2GE037</t>
  </si>
  <si>
    <t>J158</t>
  </si>
  <si>
    <t>2GE038</t>
  </si>
  <si>
    <t>J159</t>
  </si>
  <si>
    <t>2GE039</t>
  </si>
  <si>
    <t>J160</t>
  </si>
  <si>
    <t>1GE022</t>
  </si>
  <si>
    <t>CF6-80C2B1</t>
  </si>
  <si>
    <t>CF6-80C2B, -B1, -BA</t>
  </si>
  <si>
    <t>J161</t>
  </si>
  <si>
    <t>1GE025</t>
  </si>
  <si>
    <t>CF6-80C2B2</t>
  </si>
  <si>
    <t>J162</t>
  </si>
  <si>
    <t>1GE027</t>
  </si>
  <si>
    <t>J163</t>
  </si>
  <si>
    <t>1GE029</t>
  </si>
  <si>
    <t>J164</t>
  </si>
  <si>
    <t>1GE024</t>
  </si>
  <si>
    <t>CF6-80C2B1F</t>
  </si>
  <si>
    <t>J165</t>
  </si>
  <si>
    <t>1GE026</t>
  </si>
  <si>
    <t>J166</t>
  </si>
  <si>
    <t>1GE028</t>
  </si>
  <si>
    <t>J167</t>
  </si>
  <si>
    <t>1GE030</t>
  </si>
  <si>
    <t>J168</t>
  </si>
  <si>
    <t>2GE040</t>
  </si>
  <si>
    <t>J169</t>
  </si>
  <si>
    <t>2GE041</t>
  </si>
  <si>
    <t>J170</t>
  </si>
  <si>
    <t>1GE031</t>
  </si>
  <si>
    <t>J171</t>
  </si>
  <si>
    <t>2GE042</t>
  </si>
  <si>
    <t>J172</t>
  </si>
  <si>
    <t>3GE071</t>
  </si>
  <si>
    <t>CF6-50CA</t>
  </si>
  <si>
    <t>LEFN, out of prod., taxi mode = idle</t>
  </si>
  <si>
    <t>J173</t>
  </si>
  <si>
    <t>8GE103</t>
  </si>
  <si>
    <t>CF34-8C5A3</t>
  </si>
  <si>
    <t>J174</t>
  </si>
  <si>
    <t>8GE112</t>
  </si>
  <si>
    <t>CF34-8C5B1</t>
  </si>
  <si>
    <t>J175</t>
  </si>
  <si>
    <t>8GE111</t>
  </si>
  <si>
    <t>CF34-8E2A1</t>
  </si>
  <si>
    <t>J176</t>
  </si>
  <si>
    <t>8GE102</t>
  </si>
  <si>
    <t>CF34-8E5A2</t>
  </si>
  <si>
    <t>J177</t>
  </si>
  <si>
    <t>8GE109</t>
  </si>
  <si>
    <t>CF34-8E6</t>
  </si>
  <si>
    <t>J178</t>
  </si>
  <si>
    <t>8GE106</t>
  </si>
  <si>
    <t>CF34-8E6A1</t>
  </si>
  <si>
    <t>J179</t>
  </si>
  <si>
    <t>3GE056</t>
  </si>
  <si>
    <t>CF6-80C2A5F</t>
  </si>
  <si>
    <t>J180</t>
  </si>
  <si>
    <t>1GE032</t>
  </si>
  <si>
    <t>J181</t>
  </si>
  <si>
    <t>1GE033</t>
  </si>
  <si>
    <t>J182</t>
  </si>
  <si>
    <t>4GE080</t>
  </si>
  <si>
    <t>J183</t>
  </si>
  <si>
    <t>3GE073</t>
  </si>
  <si>
    <t>J184</t>
  </si>
  <si>
    <t>3GE074</t>
  </si>
  <si>
    <t>J185</t>
  </si>
  <si>
    <t>3GE078</t>
  </si>
  <si>
    <t>CF6-50C2B</t>
  </si>
  <si>
    <t>J186</t>
  </si>
  <si>
    <t>3GE072</t>
  </si>
  <si>
    <t>LEFN, 29. Jul 87 or later, out of pr., taxi = idle</t>
  </si>
  <si>
    <t>J187</t>
  </si>
  <si>
    <t>3GE075</t>
  </si>
  <si>
    <t>CF6-50E, -50E1</t>
  </si>
  <si>
    <t xml:space="preserve"> =3GE076, LEFN, out of prod., taxi mode = idle</t>
  </si>
  <si>
    <t>J188</t>
  </si>
  <si>
    <t>3GE077</t>
  </si>
  <si>
    <t>J189</t>
  </si>
  <si>
    <t>3GE079</t>
  </si>
  <si>
    <t>CF6-50E2B</t>
  </si>
  <si>
    <t>J190</t>
  </si>
  <si>
    <t>2GE045</t>
  </si>
  <si>
    <t>GE90-76B  (LowNOx)</t>
  </si>
  <si>
    <t>J191</t>
  </si>
  <si>
    <t>6GE087</t>
  </si>
  <si>
    <t>DAC II, 12. Jan 00 or later, Data equal 5GE086</t>
  </si>
  <si>
    <t>J192</t>
  </si>
  <si>
    <t>3GE064</t>
  </si>
  <si>
    <t>GE90-85B DAC (LowNOx)</t>
  </si>
  <si>
    <t>J193</t>
  </si>
  <si>
    <t>6GE089</t>
  </si>
  <si>
    <t>GE90-85B (LowNOx)</t>
  </si>
  <si>
    <t>J194</t>
  </si>
  <si>
    <t>3GE060</t>
  </si>
  <si>
    <t>GE90-90B</t>
  </si>
  <si>
    <t>GE90-90B DAC I</t>
  </si>
  <si>
    <t>J195</t>
  </si>
  <si>
    <t>3GE065</t>
  </si>
  <si>
    <t>GE90-90B DAC II</t>
  </si>
  <si>
    <t>J196</t>
  </si>
  <si>
    <t>3GE061</t>
  </si>
  <si>
    <t>GE90-92B</t>
  </si>
  <si>
    <t>GE90-92B DAC I</t>
  </si>
  <si>
    <t>J197</t>
  </si>
  <si>
    <t>3GE066</t>
  </si>
  <si>
    <t>GE90-92B DAC II</t>
  </si>
  <si>
    <t>DAC II, 19. Jun 97 or later, SN around 0</t>
  </si>
  <si>
    <t>J198</t>
  </si>
  <si>
    <t>6GE090</t>
  </si>
  <si>
    <t>J199</t>
  </si>
  <si>
    <t>8GE100</t>
  </si>
  <si>
    <t>GE90-94B</t>
  </si>
  <si>
    <t>J200</t>
  </si>
  <si>
    <t>8GE101</t>
  </si>
  <si>
    <t>CF6-80C2B8F</t>
  </si>
  <si>
    <t>J202</t>
  </si>
  <si>
    <t>J205</t>
  </si>
  <si>
    <t>7GE097</t>
  </si>
  <si>
    <t>GE90-110B1</t>
  </si>
  <si>
    <t>GE90-110</t>
  </si>
  <si>
    <t>SN corrected for aromatics content, DAC</t>
  </si>
  <si>
    <t>J206</t>
  </si>
  <si>
    <t>7GE098</t>
  </si>
  <si>
    <t>GE90-113B</t>
  </si>
  <si>
    <t>GE90-113</t>
  </si>
  <si>
    <t>J207</t>
  </si>
  <si>
    <t>7GE099</t>
  </si>
  <si>
    <t>GE90-115B</t>
  </si>
  <si>
    <t>GE90-115</t>
  </si>
  <si>
    <t>J208</t>
  </si>
  <si>
    <t>9GE124</t>
  </si>
  <si>
    <t>GE90-76B PEC</t>
  </si>
  <si>
    <t>PEC (Performance Enhanced Combustor)</t>
  </si>
  <si>
    <t>J209</t>
  </si>
  <si>
    <t>9GE125</t>
  </si>
  <si>
    <t>GE90-77B PEC</t>
  </si>
  <si>
    <t>J210</t>
  </si>
  <si>
    <t>1IA001</t>
  </si>
  <si>
    <t>V2500-A1</t>
  </si>
  <si>
    <t>V2500, -A...</t>
  </si>
  <si>
    <t>Intl Aero Engines</t>
  </si>
  <si>
    <t>J211</t>
  </si>
  <si>
    <t>14IA018</t>
  </si>
  <si>
    <t>V2531-E5 SelectOne</t>
  </si>
  <si>
    <t>J212</t>
  </si>
  <si>
    <t>3IA006</t>
  </si>
  <si>
    <t>V2522-A5</t>
  </si>
  <si>
    <t>J213</t>
  </si>
  <si>
    <t>3IA007</t>
  </si>
  <si>
    <t>V2524-A5</t>
  </si>
  <si>
    <t>J214</t>
  </si>
  <si>
    <t>J215</t>
  </si>
  <si>
    <t>J216</t>
  </si>
  <si>
    <t>V2527M-A5</t>
  </si>
  <si>
    <t>J217</t>
  </si>
  <si>
    <t>8IA010</t>
  </si>
  <si>
    <t>V2527E-A5</t>
  </si>
  <si>
    <t>J218</t>
  </si>
  <si>
    <t>10IA013</t>
  </si>
  <si>
    <t>V2527-A5 SelectOne</t>
  </si>
  <si>
    <t>SelectOne package upgrade</t>
  </si>
  <si>
    <t>J220</t>
  </si>
  <si>
    <t>1IA003</t>
  </si>
  <si>
    <t>V2527-A5</t>
  </si>
  <si>
    <t>J225</t>
  </si>
  <si>
    <t>1IA004</t>
  </si>
  <si>
    <t>V2528-D5</t>
  </si>
  <si>
    <t>J230</t>
  </si>
  <si>
    <t>1IA005</t>
  </si>
  <si>
    <t>V2530-A5</t>
  </si>
  <si>
    <t>J235</t>
  </si>
  <si>
    <t>3IA008</t>
  </si>
  <si>
    <t>V2533-A5</t>
  </si>
  <si>
    <t>J240</t>
  </si>
  <si>
    <t>11CM076</t>
  </si>
  <si>
    <t>CFM56-7B26E/B2F</t>
  </si>
  <si>
    <t>J241</t>
  </si>
  <si>
    <t>11CM077</t>
  </si>
  <si>
    <t>CFM56-7B27E</t>
  </si>
  <si>
    <t>J242</t>
  </si>
  <si>
    <t>11CM078</t>
  </si>
  <si>
    <t>CFM56-7B27E/B1</t>
  </si>
  <si>
    <t>J243</t>
  </si>
  <si>
    <t>11CM079</t>
  </si>
  <si>
    <t>CFM56-7B27E/B3</t>
  </si>
  <si>
    <t>J244</t>
  </si>
  <si>
    <t>11CM080</t>
  </si>
  <si>
    <t>CFM56-7B27AE</t>
  </si>
  <si>
    <t>J245</t>
  </si>
  <si>
    <t>11CM082</t>
  </si>
  <si>
    <t>CFM56-7B27E/B1F</t>
  </si>
  <si>
    <t>J250</t>
  </si>
  <si>
    <t>9EA001</t>
  </si>
  <si>
    <t>GP7270</t>
  </si>
  <si>
    <t>Engine Alliance</t>
  </si>
  <si>
    <t>J260</t>
  </si>
  <si>
    <t>9GE126</t>
  </si>
  <si>
    <t>GE90-85B PEC</t>
  </si>
  <si>
    <t>J261</t>
  </si>
  <si>
    <t>9GE127</t>
  </si>
  <si>
    <t>GE90-90B PEC</t>
  </si>
  <si>
    <t>J262</t>
  </si>
  <si>
    <t>9GE128</t>
  </si>
  <si>
    <t>GE90-94B PEC</t>
  </si>
  <si>
    <t>J270</t>
  </si>
  <si>
    <t>11GE134</t>
  </si>
  <si>
    <t>J271</t>
  </si>
  <si>
    <t>11GE135</t>
  </si>
  <si>
    <t>J272</t>
  </si>
  <si>
    <t>J273</t>
  </si>
  <si>
    <t>11GE137</t>
  </si>
  <si>
    <t>J274</t>
  </si>
  <si>
    <t>11GE138</t>
  </si>
  <si>
    <t>J275</t>
  </si>
  <si>
    <t>11GE139</t>
  </si>
  <si>
    <t>J276</t>
  </si>
  <si>
    <t>12GE148</t>
  </si>
  <si>
    <t>GEnx-1B54/P1</t>
  </si>
  <si>
    <t>TAPS</t>
  </si>
  <si>
    <t>J277</t>
  </si>
  <si>
    <t>12GE149</t>
  </si>
  <si>
    <t>GEnx-1B58/P1</t>
  </si>
  <si>
    <t>J278</t>
  </si>
  <si>
    <t>12GE150</t>
  </si>
  <si>
    <t>GEnx-1B64/P1</t>
  </si>
  <si>
    <t>J279</t>
  </si>
  <si>
    <t>12GE151</t>
  </si>
  <si>
    <t>GEnx-1B67/P1</t>
  </si>
  <si>
    <t>J280</t>
  </si>
  <si>
    <t>12GE152</t>
  </si>
  <si>
    <t>GEnx-1B70/P1</t>
  </si>
  <si>
    <t>GEnx-1B70/72/P1 or 70/75/P1</t>
  </si>
  <si>
    <t>J281</t>
  </si>
  <si>
    <t>12GE155</t>
  </si>
  <si>
    <t>GEnx-1B74/75/P1</t>
  </si>
  <si>
    <t>J282</t>
  </si>
  <si>
    <t>12GE156</t>
  </si>
  <si>
    <t>GEnx-1B75/P1</t>
  </si>
  <si>
    <t>J283</t>
  </si>
  <si>
    <t>13GE167</t>
  </si>
  <si>
    <t>GEnx-1B54/P2</t>
  </si>
  <si>
    <t>J284</t>
  </si>
  <si>
    <t>13GE166</t>
  </si>
  <si>
    <t>GEnx-1B58/P2</t>
  </si>
  <si>
    <t>J285</t>
  </si>
  <si>
    <t>13GE165</t>
  </si>
  <si>
    <t>GEnx-1B64/P2</t>
  </si>
  <si>
    <t>J286</t>
  </si>
  <si>
    <t>13GE164</t>
  </si>
  <si>
    <t>GEnx-1B67/P2</t>
  </si>
  <si>
    <t>J287</t>
  </si>
  <si>
    <t>13GE163</t>
  </si>
  <si>
    <t>GEnx-1B70/72/P2</t>
  </si>
  <si>
    <t>J288</t>
  </si>
  <si>
    <t>13GE162</t>
  </si>
  <si>
    <t>GEnx-1B70/75/P2</t>
  </si>
  <si>
    <t>J289</t>
  </si>
  <si>
    <t>13GE161</t>
  </si>
  <si>
    <t>GEnx-1B70/P2</t>
  </si>
  <si>
    <t>J290</t>
  </si>
  <si>
    <t>13GE160</t>
  </si>
  <si>
    <t>GEnx-1B74/75/P2</t>
  </si>
  <si>
    <t>J291</t>
  </si>
  <si>
    <t>13GE159</t>
  </si>
  <si>
    <t>GEnx-1B75/P2</t>
  </si>
  <si>
    <t>J292</t>
  </si>
  <si>
    <t>13GE157</t>
  </si>
  <si>
    <t>GEnx-2B67B</t>
  </si>
  <si>
    <t>J293</t>
  </si>
  <si>
    <t>13GE158</t>
  </si>
  <si>
    <t>GEnx-2B67/P</t>
  </si>
  <si>
    <t>J294</t>
  </si>
  <si>
    <t>16GE169</t>
  </si>
  <si>
    <t>GEnx-1B76A/P2</t>
  </si>
  <si>
    <t>J300</t>
  </si>
  <si>
    <t>1PW001</t>
  </si>
  <si>
    <t>JT3D-3B</t>
  </si>
  <si>
    <t>JT3D-1..., -3...</t>
  </si>
  <si>
    <t>J301</t>
  </si>
  <si>
    <t>1PW002</t>
  </si>
  <si>
    <t>JT3D-7</t>
  </si>
  <si>
    <t>JT3D-7 series</t>
  </si>
  <si>
    <t>J302</t>
  </si>
  <si>
    <t>JT3D-7A</t>
  </si>
  <si>
    <t>JT3D-7A/-7...</t>
  </si>
  <si>
    <t>J303</t>
  </si>
  <si>
    <t>PW306B; PW306C</t>
  </si>
  <si>
    <t>J304</t>
  </si>
  <si>
    <t>J305</t>
  </si>
  <si>
    <t>7PW080</t>
  </si>
  <si>
    <t>PW308C</t>
  </si>
  <si>
    <t>J306</t>
  </si>
  <si>
    <t>J307</t>
  </si>
  <si>
    <t>8PW091</t>
  </si>
  <si>
    <t>Talon II, revised 8PW090</t>
  </si>
  <si>
    <t>J308</t>
  </si>
  <si>
    <t>14PW103</t>
  </si>
  <si>
    <t>PW308C Build Spec 1289</t>
  </si>
  <si>
    <t>PW308C BS1289</t>
  </si>
  <si>
    <t>Talon II</t>
  </si>
  <si>
    <t>1PW004</t>
  </si>
  <si>
    <t>J311</t>
  </si>
  <si>
    <t>JT8D-7A</t>
  </si>
  <si>
    <t>J312</t>
  </si>
  <si>
    <t>JT8D-7B</t>
  </si>
  <si>
    <t>J313</t>
  </si>
  <si>
    <t>1PW007</t>
  </si>
  <si>
    <t>JT8D-9</t>
  </si>
  <si>
    <t>J314</t>
  </si>
  <si>
    <t>JT8D-9A</t>
  </si>
  <si>
    <t>JT8D-9A, -9...</t>
  </si>
  <si>
    <t>J315</t>
  </si>
  <si>
    <t>1PW008</t>
  </si>
  <si>
    <t>JT8D-11</t>
  </si>
  <si>
    <t>J316</t>
  </si>
  <si>
    <t>1PW010</t>
  </si>
  <si>
    <t>JT8D-15</t>
  </si>
  <si>
    <t>J317</t>
  </si>
  <si>
    <t>1PW011</t>
  </si>
  <si>
    <t>JT8D-15A</t>
  </si>
  <si>
    <t>JT8D-15A, -15...</t>
  </si>
  <si>
    <t>J318</t>
  </si>
  <si>
    <t>1PW013</t>
  </si>
  <si>
    <t>JT8D-17</t>
  </si>
  <si>
    <t>J319</t>
  </si>
  <si>
    <t>1PW014</t>
  </si>
  <si>
    <t>JT8D-17A</t>
  </si>
  <si>
    <t>JT8D-17A, B</t>
  </si>
  <si>
    <t>J320</t>
  </si>
  <si>
    <t>1PW016</t>
  </si>
  <si>
    <t>JT8D-17R</t>
  </si>
  <si>
    <t>J321</t>
  </si>
  <si>
    <t>1PW015</t>
  </si>
  <si>
    <t>JT8D-17AR</t>
  </si>
  <si>
    <t>J330</t>
  </si>
  <si>
    <t>1PW017</t>
  </si>
  <si>
    <t>JT8D-209</t>
  </si>
  <si>
    <t>J331</t>
  </si>
  <si>
    <t>1PW018</t>
  </si>
  <si>
    <t>JT8D-217</t>
  </si>
  <si>
    <t>J332</t>
  </si>
  <si>
    <t>JT8D-217A</t>
  </si>
  <si>
    <t>J333</t>
  </si>
  <si>
    <t>JT8D-217C</t>
  </si>
  <si>
    <t>J334</t>
  </si>
  <si>
    <t>1PW019</t>
  </si>
  <si>
    <t>JT8D-219, -219...</t>
  </si>
  <si>
    <t>J341</t>
  </si>
  <si>
    <t>1PW009</t>
  </si>
  <si>
    <t>J342</t>
  </si>
  <si>
    <t>1PW012</t>
  </si>
  <si>
    <t>J343</t>
  </si>
  <si>
    <t>4PW068</t>
  </si>
  <si>
    <t>J344</t>
  </si>
  <si>
    <t>4PW069</t>
  </si>
  <si>
    <t>J345</t>
  </si>
  <si>
    <t>4PW070</t>
  </si>
  <si>
    <t>J346</t>
  </si>
  <si>
    <t>J347</t>
  </si>
  <si>
    <t>8PW085</t>
  </si>
  <si>
    <t>JT8D-7 series</t>
  </si>
  <si>
    <t>J348</t>
  </si>
  <si>
    <t>1PW006</t>
  </si>
  <si>
    <t>JT8D-9 series</t>
  </si>
  <si>
    <t>J350</t>
  </si>
  <si>
    <t>8PW086</t>
  </si>
  <si>
    <t>JT9D-7</t>
  </si>
  <si>
    <t>J351</t>
  </si>
  <si>
    <t>8PW087</t>
  </si>
  <si>
    <t>JT9D-7A</t>
  </si>
  <si>
    <t>J352</t>
  </si>
  <si>
    <t>1PW022</t>
  </si>
  <si>
    <t>JT9D-7F</t>
  </si>
  <si>
    <t>J353</t>
  </si>
  <si>
    <t>1PW025</t>
  </si>
  <si>
    <t>JT9D-7Q</t>
  </si>
  <si>
    <t>JT9D-7Q, -7...</t>
  </si>
  <si>
    <t>J354</t>
  </si>
  <si>
    <t>1PW033</t>
  </si>
  <si>
    <t>JT9D-59A</t>
  </si>
  <si>
    <t>D-18T (for An-124), JT9D-59…</t>
  </si>
  <si>
    <t>J355</t>
  </si>
  <si>
    <t>1PW034</t>
  </si>
  <si>
    <t>JT9D-70A</t>
  </si>
  <si>
    <t>JT9D-70, -70A, -70...</t>
  </si>
  <si>
    <t>J356</t>
  </si>
  <si>
    <t>1PW023</t>
  </si>
  <si>
    <t>JT9D-7F Mod VI</t>
  </si>
  <si>
    <t>Mod VI combustor, 1980 or later, out of prod.</t>
  </si>
  <si>
    <t>J357</t>
  </si>
  <si>
    <t>D-18T</t>
  </si>
  <si>
    <t>D-18T (for An-124)</t>
  </si>
  <si>
    <t>AO 'Aviadgatel'</t>
  </si>
  <si>
    <t>1PW026</t>
  </si>
  <si>
    <t>JT9D-7R4D</t>
  </si>
  <si>
    <t>J361</t>
  </si>
  <si>
    <t>JT9D-7R4D1, ...-7R4D/D1</t>
  </si>
  <si>
    <t>1PW027</t>
  </si>
  <si>
    <t>JT9D-7R4E</t>
  </si>
  <si>
    <t>J363</t>
  </si>
  <si>
    <t>JT9D-7R4E1, ...-7R4E/E1</t>
  </si>
  <si>
    <t>J364</t>
  </si>
  <si>
    <t>1PW028</t>
  </si>
  <si>
    <t>JT9D-7R4E1 (H)</t>
  </si>
  <si>
    <t>JT9D-7R4E4, -7R4E1H</t>
  </si>
  <si>
    <t>J366</t>
  </si>
  <si>
    <t>1PW029</t>
  </si>
  <si>
    <t>JT9D-7R4G2</t>
  </si>
  <si>
    <t>J367</t>
  </si>
  <si>
    <t>1PW030</t>
  </si>
  <si>
    <t>JT9D-7R4H1</t>
  </si>
  <si>
    <t>JT9D-7R4H1, H2, H1/H2</t>
  </si>
  <si>
    <t>J368</t>
  </si>
  <si>
    <t>JT9D-7R4H2</t>
  </si>
  <si>
    <t>J369</t>
  </si>
  <si>
    <t>1PW024</t>
  </si>
  <si>
    <t>JT9D-7J</t>
  </si>
  <si>
    <t>J370</t>
  </si>
  <si>
    <t>8PW088</t>
  </si>
  <si>
    <t>JT9D-20</t>
  </si>
  <si>
    <t>J371</t>
  </si>
  <si>
    <t>1PW032</t>
  </si>
  <si>
    <t>JT9D-20J</t>
  </si>
  <si>
    <t>PW2037</t>
  </si>
  <si>
    <t>PW2040</t>
  </si>
  <si>
    <t>J402</t>
  </si>
  <si>
    <t>PW2041</t>
  </si>
  <si>
    <t>J403</t>
  </si>
  <si>
    <t>10PW096</t>
  </si>
  <si>
    <t>PW4074D</t>
  </si>
  <si>
    <t>PW4074D (2010)</t>
  </si>
  <si>
    <t>Floatwall, 2010 and later</t>
  </si>
  <si>
    <t>J404</t>
  </si>
  <si>
    <t>10PW097</t>
  </si>
  <si>
    <t>PW4077D</t>
  </si>
  <si>
    <t>Floatwall</t>
  </si>
  <si>
    <t>J405</t>
  </si>
  <si>
    <t>10PW098</t>
  </si>
  <si>
    <t>PW4084D</t>
  </si>
  <si>
    <t>PW4084D (2010)</t>
  </si>
  <si>
    <t>J406</t>
  </si>
  <si>
    <t>10PW099</t>
  </si>
  <si>
    <t>PW4090</t>
  </si>
  <si>
    <t>PW4090 (2010)</t>
  </si>
  <si>
    <t>Floatwall, 2010 or later</t>
  </si>
  <si>
    <t>J410</t>
  </si>
  <si>
    <t>1PW042</t>
  </si>
  <si>
    <t>PW4056</t>
  </si>
  <si>
    <t>J412</t>
  </si>
  <si>
    <t>1PW043</t>
  </si>
  <si>
    <t>PW4060</t>
  </si>
  <si>
    <t>J413</t>
  </si>
  <si>
    <t>12PW101</t>
  </si>
  <si>
    <t>PW4060 Phase 3</t>
  </si>
  <si>
    <t>Phase 3</t>
  </si>
  <si>
    <t>J414</t>
  </si>
  <si>
    <t>12PW102</t>
  </si>
  <si>
    <t>PW4062 Phase 3</t>
  </si>
  <si>
    <t>J415</t>
  </si>
  <si>
    <t>2PW060</t>
  </si>
  <si>
    <t>PW4074</t>
  </si>
  <si>
    <t>J416</t>
  </si>
  <si>
    <t>2PW061</t>
  </si>
  <si>
    <t>PW4077</t>
  </si>
  <si>
    <t>J418</t>
  </si>
  <si>
    <t>8PW089</t>
  </si>
  <si>
    <t>PW4084</t>
  </si>
  <si>
    <t>J419</t>
  </si>
  <si>
    <t>5PW076</t>
  </si>
  <si>
    <t>PW4098</t>
  </si>
  <si>
    <t>J420</t>
  </si>
  <si>
    <t>1PW045</t>
  </si>
  <si>
    <t>PW4152</t>
  </si>
  <si>
    <t>J421</t>
  </si>
  <si>
    <t>7PW082</t>
  </si>
  <si>
    <t>PW4168A</t>
  </si>
  <si>
    <t>PW4168A Talon II</t>
  </si>
  <si>
    <t>J422</t>
  </si>
  <si>
    <t>1PW047</t>
  </si>
  <si>
    <t>PW4156</t>
  </si>
  <si>
    <t>J423</t>
  </si>
  <si>
    <t>7PW081</t>
  </si>
  <si>
    <t>PW4164</t>
  </si>
  <si>
    <t>PW4164 Talon II</t>
  </si>
  <si>
    <t>J424</t>
  </si>
  <si>
    <t>1PW048</t>
  </si>
  <si>
    <t>PW4158</t>
  </si>
  <si>
    <t>J425</t>
  </si>
  <si>
    <t>1PW049</t>
  </si>
  <si>
    <t>J426</t>
  </si>
  <si>
    <t>1PW050</t>
  </si>
  <si>
    <t>PW4168 Floatwall</t>
  </si>
  <si>
    <t>J427</t>
  </si>
  <si>
    <t>5PW075</t>
  </si>
  <si>
    <t>PW4168 Talon II</t>
  </si>
  <si>
    <t>J428</t>
  </si>
  <si>
    <t>4PW067</t>
  </si>
  <si>
    <t>PW4168A Floatwall</t>
  </si>
  <si>
    <t>J429</t>
  </si>
  <si>
    <t>5PW074</t>
  </si>
  <si>
    <t>PW4x58</t>
  </si>
  <si>
    <t>PW4x58 Talon II</t>
  </si>
  <si>
    <t>J430</t>
  </si>
  <si>
    <t>1PW051</t>
  </si>
  <si>
    <t>PW4256</t>
  </si>
  <si>
    <t>J431</t>
  </si>
  <si>
    <t>4PW072</t>
  </si>
  <si>
    <t>J432</t>
  </si>
  <si>
    <t>4PW073</t>
  </si>
  <si>
    <t>J434</t>
  </si>
  <si>
    <t>3PW063</t>
  </si>
  <si>
    <t>J435</t>
  </si>
  <si>
    <t>3PW064</t>
  </si>
  <si>
    <t>J436</t>
  </si>
  <si>
    <t>3PW065</t>
  </si>
  <si>
    <t>J437</t>
  </si>
  <si>
    <t>3PW066</t>
  </si>
  <si>
    <t>J440</t>
  </si>
  <si>
    <t>J441</t>
  </si>
  <si>
    <t>1PW058</t>
  </si>
  <si>
    <t>PW4x62</t>
  </si>
  <si>
    <t>J450</t>
  </si>
  <si>
    <t>1PW053</t>
  </si>
  <si>
    <t>PW4x50</t>
  </si>
  <si>
    <t>PW4x50 Phase 3</t>
  </si>
  <si>
    <t>J451</t>
  </si>
  <si>
    <t>1PW054</t>
  </si>
  <si>
    <t>PW4x52</t>
  </si>
  <si>
    <t>PW4x52 Phase 3</t>
  </si>
  <si>
    <t>Phase 3 combustor</t>
  </si>
  <si>
    <t>J452</t>
  </si>
  <si>
    <t>1PW055</t>
  </si>
  <si>
    <t>PW4x56</t>
  </si>
  <si>
    <t>PW4x56 Phase 3</t>
  </si>
  <si>
    <t>J453</t>
  </si>
  <si>
    <t>1PW056</t>
  </si>
  <si>
    <t>PW4x58 Phase 3</t>
  </si>
  <si>
    <t>J454</t>
  </si>
  <si>
    <t>1PW057</t>
  </si>
  <si>
    <t>PW4x60</t>
  </si>
  <si>
    <t>PW4x60 Phase 3</t>
  </si>
  <si>
    <t>J456</t>
  </si>
  <si>
    <t>1PW059</t>
  </si>
  <si>
    <t>PW4x62 Phase 3</t>
  </si>
  <si>
    <t>Phase 3, 19. Jan 93 or later</t>
  </si>
  <si>
    <t>J460</t>
  </si>
  <si>
    <t>7PW083</t>
  </si>
  <si>
    <t>PW6122A</t>
  </si>
  <si>
    <t>PW6122</t>
  </si>
  <si>
    <t>Talon II comb., Dec. 2003 or later</t>
  </si>
  <si>
    <t>J461</t>
  </si>
  <si>
    <t>7PW084</t>
  </si>
  <si>
    <t>PW6124A</t>
  </si>
  <si>
    <t>PW6124</t>
  </si>
  <si>
    <t>Talon II comb., Dec 2003 or later</t>
  </si>
  <si>
    <t>J470</t>
  </si>
  <si>
    <t>9PW092</t>
  </si>
  <si>
    <t>PW4164-1D</t>
  </si>
  <si>
    <t>PW4164-1D Talon IIB</t>
  </si>
  <si>
    <t>Talon IIB Combustor</t>
  </si>
  <si>
    <t>J471</t>
  </si>
  <si>
    <t>9PW093</t>
  </si>
  <si>
    <t>PW4168-1D</t>
  </si>
  <si>
    <t>PW4168-1D Talon IIB</t>
  </si>
  <si>
    <t>J472</t>
  </si>
  <si>
    <t>PW4168A-1D</t>
  </si>
  <si>
    <t>PW4168A-1D Talon IIB</t>
  </si>
  <si>
    <t>J473</t>
  </si>
  <si>
    <t>9PW095</t>
  </si>
  <si>
    <t>PW4170</t>
  </si>
  <si>
    <t>PW4170 Talon IIB</t>
  </si>
  <si>
    <t>J474</t>
  </si>
  <si>
    <t>PW1127G1-JM</t>
  </si>
  <si>
    <t>J475</t>
  </si>
  <si>
    <t>15PW106</t>
  </si>
  <si>
    <t>PW1130G-JM</t>
  </si>
  <si>
    <t>J476</t>
  </si>
  <si>
    <t>PW1133G1-JM</t>
  </si>
  <si>
    <t>J477</t>
  </si>
  <si>
    <t>15PW109</t>
  </si>
  <si>
    <t>PW307D</t>
  </si>
  <si>
    <t>J480</t>
  </si>
  <si>
    <t>J481</t>
  </si>
  <si>
    <t>J482</t>
  </si>
  <si>
    <t>PW1521G</t>
  </si>
  <si>
    <t>J483</t>
  </si>
  <si>
    <t>PW1519G</t>
  </si>
  <si>
    <t>J490</t>
  </si>
  <si>
    <t>PW814GA</t>
  </si>
  <si>
    <t>J491</t>
  </si>
  <si>
    <t>PW815GA</t>
  </si>
  <si>
    <t>J492</t>
  </si>
  <si>
    <t>18PW117</t>
  </si>
  <si>
    <t>PW1122G-JM</t>
  </si>
  <si>
    <t>PW1122G</t>
  </si>
  <si>
    <t>Block C combustor</t>
  </si>
  <si>
    <t>J493</t>
  </si>
  <si>
    <t>18PW119</t>
  </si>
  <si>
    <t>PW1124G-JM</t>
  </si>
  <si>
    <t>PW1123G1-JM</t>
  </si>
  <si>
    <t>J494</t>
  </si>
  <si>
    <t>18PW122</t>
  </si>
  <si>
    <t>PW1127G1-JM / 1127GA-JM</t>
  </si>
  <si>
    <t>J495</t>
  </si>
  <si>
    <t>18PW123</t>
  </si>
  <si>
    <t>PW1129G-JM</t>
  </si>
  <si>
    <t>J496</t>
  </si>
  <si>
    <t>18PW124</t>
  </si>
  <si>
    <t>147.3 kN Variant, from 2017</t>
  </si>
  <si>
    <t>J497</t>
  </si>
  <si>
    <t>18PW126</t>
  </si>
  <si>
    <t>PW1133GA-JM</t>
  </si>
  <si>
    <t>Block C combustor, from 2017</t>
  </si>
  <si>
    <t>1RR002</t>
  </si>
  <si>
    <t>RB211-22B</t>
  </si>
  <si>
    <t>RB211, -22B, -22...</t>
  </si>
  <si>
    <t>J501</t>
  </si>
  <si>
    <t>Package 1 comb., out of prod.</t>
  </si>
  <si>
    <t>RB211-524B series</t>
  </si>
  <si>
    <t>RB211-524B</t>
  </si>
  <si>
    <t>J503</t>
  </si>
  <si>
    <t>1RR008</t>
  </si>
  <si>
    <t>RB211-524D4</t>
  </si>
  <si>
    <t>RB211-524G</t>
  </si>
  <si>
    <t>J505</t>
  </si>
  <si>
    <t>4RR036</t>
  </si>
  <si>
    <t>RB211-524G-T</t>
  </si>
  <si>
    <t>J506</t>
  </si>
  <si>
    <t>4RR037</t>
  </si>
  <si>
    <t>RB211-524H-T</t>
  </si>
  <si>
    <t>J507</t>
  </si>
  <si>
    <t>1RR013</t>
  </si>
  <si>
    <t>J508</t>
  </si>
  <si>
    <t>J509</t>
  </si>
  <si>
    <t>3RR034</t>
  </si>
  <si>
    <t>RB211-535E4B</t>
  </si>
  <si>
    <t>J510</t>
  </si>
  <si>
    <t>1RR005</t>
  </si>
  <si>
    <t>Phase 2, out of prod., SN from 1RR004</t>
  </si>
  <si>
    <t>J511</t>
  </si>
  <si>
    <t>RB211-524B2</t>
  </si>
  <si>
    <t>J512</t>
  </si>
  <si>
    <t>RB211-524B3</t>
  </si>
  <si>
    <t>J513</t>
  </si>
  <si>
    <t>RB211-524B4</t>
  </si>
  <si>
    <t>J514</t>
  </si>
  <si>
    <t>1RR006</t>
  </si>
  <si>
    <t>RB211-524C2</t>
  </si>
  <si>
    <t>RB211-524C...</t>
  </si>
  <si>
    <t>J516</t>
  </si>
  <si>
    <t>1RR010</t>
  </si>
  <si>
    <t>RB211-524G...</t>
  </si>
  <si>
    <t>J517</t>
  </si>
  <si>
    <t>1RR011</t>
  </si>
  <si>
    <t>RB211-524H</t>
  </si>
  <si>
    <t>RB211-524H...</t>
  </si>
  <si>
    <t>J520</t>
  </si>
  <si>
    <t>RB211-535, -535C...</t>
  </si>
  <si>
    <t>J522</t>
  </si>
  <si>
    <t>5RR038</t>
  </si>
  <si>
    <t>RB211-535E4 Phase 5</t>
  </si>
  <si>
    <t>J523</t>
  </si>
  <si>
    <t>5RR039</t>
  </si>
  <si>
    <t>RB211-535E4B Phase 5</t>
  </si>
  <si>
    <t>J550</t>
  </si>
  <si>
    <t>1RR016</t>
  </si>
  <si>
    <t>SPEY MK511</t>
  </si>
  <si>
    <t>SPEY MK5.. - MK511</t>
  </si>
  <si>
    <t>J551</t>
  </si>
  <si>
    <t>SPEY MK511-8</t>
  </si>
  <si>
    <t>SPEY MK511-8 bis 520-...</t>
  </si>
  <si>
    <t>J552</t>
  </si>
  <si>
    <t>1RR018</t>
  </si>
  <si>
    <t>SPEY MK555</t>
  </si>
  <si>
    <t>SPEY MK555 Transply II</t>
  </si>
  <si>
    <t>J553</t>
  </si>
  <si>
    <t>SPEY 555</t>
  </si>
  <si>
    <t>J554</t>
  </si>
  <si>
    <t>8RR043</t>
  </si>
  <si>
    <t>SPEY Mk511</t>
  </si>
  <si>
    <t>J555</t>
  </si>
  <si>
    <t>1RR017</t>
  </si>
  <si>
    <t>SPEY Mk555</t>
  </si>
  <si>
    <t>J560</t>
  </si>
  <si>
    <t>3RR031</t>
  </si>
  <si>
    <t>TAY 650</t>
  </si>
  <si>
    <t>J561</t>
  </si>
  <si>
    <t>3RR032</t>
  </si>
  <si>
    <t>TAY 651</t>
  </si>
  <si>
    <t>TAY 651 Pedhead</t>
  </si>
  <si>
    <t>J562</t>
  </si>
  <si>
    <t>3RR033</t>
  </si>
  <si>
    <t>TAY 651 Transply</t>
  </si>
  <si>
    <t>J570</t>
  </si>
  <si>
    <t>3RR029</t>
  </si>
  <si>
    <t>TRENT 768 (ITC)</t>
  </si>
  <si>
    <t>J571</t>
  </si>
  <si>
    <t>14RR070</t>
  </si>
  <si>
    <t>Trent 768</t>
  </si>
  <si>
    <t>Trent 768 (2014)</t>
  </si>
  <si>
    <t>J575</t>
  </si>
  <si>
    <t>14RR071</t>
  </si>
  <si>
    <t>Trent 772</t>
  </si>
  <si>
    <t>Trent 772 (2014)</t>
  </si>
  <si>
    <t>J580</t>
  </si>
  <si>
    <t>14RR072</t>
  </si>
  <si>
    <t>Trent XWB-75 (29.1.2015)</t>
  </si>
  <si>
    <t>Trent XWB-75</t>
  </si>
  <si>
    <t>New aircraft pre 2017</t>
  </si>
  <si>
    <t>J581</t>
  </si>
  <si>
    <t>14RR073</t>
  </si>
  <si>
    <t>Trent XWB-79 (29.1.2015)</t>
  </si>
  <si>
    <t>Trent XWB-79</t>
  </si>
  <si>
    <t>J582</t>
  </si>
  <si>
    <t>14RR074</t>
  </si>
  <si>
    <t>Trent XWB-79B (29.1.2015)</t>
  </si>
  <si>
    <t>Trent XWB-79B</t>
  </si>
  <si>
    <t>J583</t>
  </si>
  <si>
    <t>14RR075</t>
  </si>
  <si>
    <t>Trent XWB-84 (29.1.2015)</t>
  </si>
  <si>
    <t>J584</t>
  </si>
  <si>
    <t>14RR076</t>
  </si>
  <si>
    <t>Trent XWB-75 (16.11.2017)</t>
  </si>
  <si>
    <t>New aircraft from 2017</t>
  </si>
  <si>
    <t>J585</t>
  </si>
  <si>
    <t>14RR078</t>
  </si>
  <si>
    <t>Trent XWB-79 (16.11.2017)</t>
  </si>
  <si>
    <t>J586</t>
  </si>
  <si>
    <t>14RR077</t>
  </si>
  <si>
    <t>Trent XWB-79B (16.11.2017)</t>
  </si>
  <si>
    <t>J587</t>
  </si>
  <si>
    <t>Trent XWB-84 (16.11.2017)</t>
  </si>
  <si>
    <t>J588</t>
  </si>
  <si>
    <t>18RR080</t>
  </si>
  <si>
    <t>Trent XWB-97</t>
  </si>
  <si>
    <t>J589</t>
  </si>
  <si>
    <t>18RR081</t>
  </si>
  <si>
    <t>Trent 970-84 (16.11.2017)</t>
  </si>
  <si>
    <t>Trent 970-84</t>
  </si>
  <si>
    <t>J590</t>
  </si>
  <si>
    <t>18RR082</t>
  </si>
  <si>
    <t>Trent 970B-84</t>
  </si>
  <si>
    <t>J591</t>
  </si>
  <si>
    <t>18RR083</t>
  </si>
  <si>
    <t>Trent 972-84 (16.11.2017)</t>
  </si>
  <si>
    <t>Trent 972-84</t>
  </si>
  <si>
    <t>J592</t>
  </si>
  <si>
    <t>18RR084</t>
  </si>
  <si>
    <t>Trent 972E-84 (16.11.2017)</t>
  </si>
  <si>
    <t>Trent 972E-84</t>
  </si>
  <si>
    <t>J650</t>
  </si>
  <si>
    <t>1RR019</t>
  </si>
  <si>
    <t>TAY MK611-8</t>
  </si>
  <si>
    <t>TAY MK61...</t>
  </si>
  <si>
    <t>J651</t>
  </si>
  <si>
    <t>TAY MK620-15</t>
  </si>
  <si>
    <t>TAY MK62...  -  MK64...</t>
  </si>
  <si>
    <t>J652</t>
  </si>
  <si>
    <t>1RR021</t>
  </si>
  <si>
    <t>TAY MK650-15</t>
  </si>
  <si>
    <t>TAY MK65... - MK68...</t>
  </si>
  <si>
    <t>J653</t>
  </si>
  <si>
    <t>6RR042</t>
  </si>
  <si>
    <t>TAY 611-8C</t>
  </si>
  <si>
    <t>TAY 611-8..Transply IIJ</t>
  </si>
  <si>
    <t>BMW Rolls-Royce</t>
  </si>
  <si>
    <t>22. Jan 02 or later,Transply IIJ</t>
  </si>
  <si>
    <t>J654</t>
  </si>
  <si>
    <t>11RR048</t>
  </si>
  <si>
    <t>Improved 2011 to meet CAEP/6 Nox standard</t>
  </si>
  <si>
    <t>J660</t>
  </si>
  <si>
    <t>1RR001</t>
  </si>
  <si>
    <t>M45H-01</t>
  </si>
  <si>
    <t>J665</t>
  </si>
  <si>
    <t>9RR047</t>
  </si>
  <si>
    <t>Trent 992-84</t>
  </si>
  <si>
    <t>Trent 972-84 Phase5 Tiled</t>
  </si>
  <si>
    <t>Phase5 Tiled Combustor</t>
  </si>
  <si>
    <t>J666</t>
  </si>
  <si>
    <t>RR</t>
  </si>
  <si>
    <t>TRENT 500</t>
  </si>
  <si>
    <t>J667</t>
  </si>
  <si>
    <t>6RR041</t>
  </si>
  <si>
    <t>TRENT 556-61 Phase 5 old</t>
  </si>
  <si>
    <t>out of prod. 2004</t>
  </si>
  <si>
    <t>J668</t>
  </si>
  <si>
    <t>8RR044</t>
  </si>
  <si>
    <t>Trent 553-61</t>
  </si>
  <si>
    <t>Trent 553-61 Phase 5 new</t>
  </si>
  <si>
    <t>Phase 5 tiled combustor, 2005 or later</t>
  </si>
  <si>
    <t>J669</t>
  </si>
  <si>
    <t>8RR045</t>
  </si>
  <si>
    <t>Trent 556-61</t>
  </si>
  <si>
    <t>Trent 556-61 Phase 5 new</t>
  </si>
  <si>
    <t>Phase 5 tiled combustor, higher thrust</t>
  </si>
  <si>
    <t>J670</t>
  </si>
  <si>
    <t>8RR046</t>
  </si>
  <si>
    <t>Phase 5 tiled</t>
  </si>
  <si>
    <t>J671</t>
  </si>
  <si>
    <t>Trent 972 (9.4.2013)</t>
  </si>
  <si>
    <t>Trent 972 Phase 5 Tiled</t>
  </si>
  <si>
    <t>FOCA update</t>
  </si>
  <si>
    <t>J672</t>
  </si>
  <si>
    <t>3RR048</t>
  </si>
  <si>
    <t>Trent 972B</t>
  </si>
  <si>
    <t>Estimated Data</t>
  </si>
  <si>
    <t>J673</t>
  </si>
  <si>
    <t>3RR030</t>
  </si>
  <si>
    <t>TRENT 772 (ITC)</t>
  </si>
  <si>
    <t>J674</t>
  </si>
  <si>
    <t>2RR024</t>
  </si>
  <si>
    <t>TRENT 875</t>
  </si>
  <si>
    <t>J675</t>
  </si>
  <si>
    <t>2RR025</t>
  </si>
  <si>
    <t>TRENT 877</t>
  </si>
  <si>
    <t>J676</t>
  </si>
  <si>
    <t>2RR026</t>
  </si>
  <si>
    <t>TRENT 884</t>
  </si>
  <si>
    <t>J677</t>
  </si>
  <si>
    <t>TRENT 890</t>
  </si>
  <si>
    <t>J678</t>
  </si>
  <si>
    <t>TRENT 892</t>
  </si>
  <si>
    <t>J679</t>
  </si>
  <si>
    <t>5RR040</t>
  </si>
  <si>
    <t>TRENT 895</t>
  </si>
  <si>
    <t>J680</t>
  </si>
  <si>
    <t>ALF 502L-2</t>
  </si>
  <si>
    <t>ALF 502L...</t>
  </si>
  <si>
    <t>J681</t>
  </si>
  <si>
    <t>1TL002</t>
  </si>
  <si>
    <t>ALF 502R-3</t>
  </si>
  <si>
    <t>ALF 502R-3...</t>
  </si>
  <si>
    <t>J682</t>
  </si>
  <si>
    <t>1TL003</t>
  </si>
  <si>
    <t>ALF 502R-5</t>
  </si>
  <si>
    <t>ALF 502R-5...</t>
  </si>
  <si>
    <t>J683</t>
  </si>
  <si>
    <t>12RR064</t>
  </si>
  <si>
    <t>Trent 1000-E2</t>
  </si>
  <si>
    <t>J684</t>
  </si>
  <si>
    <t>12RR065</t>
  </si>
  <si>
    <t>Trent 1000-G2</t>
  </si>
  <si>
    <t>J685</t>
  </si>
  <si>
    <t>12RR066</t>
  </si>
  <si>
    <t>Trent 1000-H2</t>
  </si>
  <si>
    <t>J686</t>
  </si>
  <si>
    <t>12RR069</t>
  </si>
  <si>
    <t>Trent 1000-L2</t>
  </si>
  <si>
    <t>J687</t>
  </si>
  <si>
    <t>12RR067</t>
  </si>
  <si>
    <t>Trent 1000-J2</t>
  </si>
  <si>
    <t>Trent 1000-K2</t>
  </si>
  <si>
    <t>J690</t>
  </si>
  <si>
    <t>ALF 507</t>
  </si>
  <si>
    <t>LF/ALF 507-1F, -1H, -...</t>
  </si>
  <si>
    <t>J691</t>
  </si>
  <si>
    <t>11RR055</t>
  </si>
  <si>
    <t>Trent 1000-A</t>
  </si>
  <si>
    <t>J692</t>
  </si>
  <si>
    <t>11RR056</t>
  </si>
  <si>
    <t>Trent 1000-C</t>
  </si>
  <si>
    <t>J693</t>
  </si>
  <si>
    <t>11RR057</t>
  </si>
  <si>
    <t>Trent 1000-D</t>
  </si>
  <si>
    <t>J694</t>
  </si>
  <si>
    <t>11RR058</t>
  </si>
  <si>
    <t>Trent 1000-E</t>
  </si>
  <si>
    <t>J695</t>
  </si>
  <si>
    <t>11RR059</t>
  </si>
  <si>
    <t>Trent 1000-G</t>
  </si>
  <si>
    <t>J696</t>
  </si>
  <si>
    <t>11RR060</t>
  </si>
  <si>
    <t>Trent 1000-H</t>
  </si>
  <si>
    <t>J697</t>
  </si>
  <si>
    <t>12RR061</t>
  </si>
  <si>
    <t>Trent 1000-A2</t>
  </si>
  <si>
    <t>Trent 1000 A2</t>
  </si>
  <si>
    <t>Phase 5 Tiled</t>
  </si>
  <si>
    <t>J698</t>
  </si>
  <si>
    <t>12RR062</t>
  </si>
  <si>
    <t>Trent 1000-C2</t>
  </si>
  <si>
    <t>Trent 1000-D2</t>
  </si>
  <si>
    <t>J700</t>
  </si>
  <si>
    <t>ZMKB</t>
  </si>
  <si>
    <t>J701</t>
  </si>
  <si>
    <t>D-436-148 F1</t>
  </si>
  <si>
    <t>J702</t>
  </si>
  <si>
    <t>D-436-148 F2</t>
  </si>
  <si>
    <t>J703</t>
  </si>
  <si>
    <t>13ZM002</t>
  </si>
  <si>
    <t>D-36 ser. 4A</t>
  </si>
  <si>
    <t>J704</t>
  </si>
  <si>
    <t>13ZM003</t>
  </si>
  <si>
    <t>D-436</t>
  </si>
  <si>
    <t>J705</t>
  </si>
  <si>
    <t>13ZM004</t>
  </si>
  <si>
    <t>J710</t>
  </si>
  <si>
    <t>1KK003</t>
  </si>
  <si>
    <t>NK-86</t>
  </si>
  <si>
    <t>KKBM</t>
  </si>
  <si>
    <t>J711</t>
  </si>
  <si>
    <t>1KK005</t>
  </si>
  <si>
    <t>NK-86MA</t>
  </si>
  <si>
    <t>J712</t>
  </si>
  <si>
    <t>1KK004</t>
  </si>
  <si>
    <t>NK-86A</t>
  </si>
  <si>
    <t>(for aircraft IL-86)</t>
  </si>
  <si>
    <t>J713</t>
  </si>
  <si>
    <t>1KK001</t>
  </si>
  <si>
    <t>NK-8-2U</t>
  </si>
  <si>
    <t>(for aircraft TU-154,A,B2)</t>
  </si>
  <si>
    <t>J714</t>
  </si>
  <si>
    <t>1KK002</t>
  </si>
  <si>
    <t>J750</t>
  </si>
  <si>
    <t>1AA001</t>
  </si>
  <si>
    <t>D-30-2</t>
  </si>
  <si>
    <t>(for aircraft TU-134A)</t>
  </si>
  <si>
    <t>J751</t>
  </si>
  <si>
    <t>1AA002</t>
  </si>
  <si>
    <t>D-30-KP-2</t>
  </si>
  <si>
    <t>(for aircraft IL-76)</t>
  </si>
  <si>
    <t>J752</t>
  </si>
  <si>
    <t>1AA003</t>
  </si>
  <si>
    <t>D-30-KU</t>
  </si>
  <si>
    <t>(for aircraft IL-62,M)</t>
  </si>
  <si>
    <t>J753</t>
  </si>
  <si>
    <t>1AA004</t>
  </si>
  <si>
    <t>D-30-KU-154</t>
  </si>
  <si>
    <t>(for aircraft TU-154M)</t>
  </si>
  <si>
    <t>J780</t>
  </si>
  <si>
    <t>(for aircraft IL-96)</t>
  </si>
  <si>
    <t>J781</t>
  </si>
  <si>
    <t>PS-90A1</t>
  </si>
  <si>
    <t>J782</t>
  </si>
  <si>
    <t>PS-90A2</t>
  </si>
  <si>
    <t>J783</t>
  </si>
  <si>
    <t>13AA006</t>
  </si>
  <si>
    <t>CAEP/6 Nox compliant version</t>
  </si>
  <si>
    <t>J784</t>
  </si>
  <si>
    <t>13AA007</t>
  </si>
  <si>
    <t>CAEP/6 NOx compliant version</t>
  </si>
  <si>
    <t>J785</t>
  </si>
  <si>
    <t>13AA008</t>
  </si>
  <si>
    <t>J790</t>
  </si>
  <si>
    <t>KUS-NK-8-4</t>
  </si>
  <si>
    <t>Kuznetsov</t>
  </si>
  <si>
    <t>J791</t>
  </si>
  <si>
    <t>KUS-NK-8-6</t>
  </si>
  <si>
    <t>J792</t>
  </si>
  <si>
    <t>KUS-N-8-211</t>
  </si>
  <si>
    <t>J800</t>
  </si>
  <si>
    <t>AE3007C</t>
  </si>
  <si>
    <t>AE300xxx</t>
  </si>
  <si>
    <t>Type 1</t>
  </si>
  <si>
    <t>J801</t>
  </si>
  <si>
    <t>AE3007A1/3</t>
  </si>
  <si>
    <t>J802</t>
  </si>
  <si>
    <t>6AL005</t>
  </si>
  <si>
    <t>AE3007A1</t>
  </si>
  <si>
    <t>RR Notice AE3007A-076, Type 1</t>
  </si>
  <si>
    <t>J803</t>
  </si>
  <si>
    <t>6AL023</t>
  </si>
  <si>
    <t>AE3007C1</t>
  </si>
  <si>
    <t>J804</t>
  </si>
  <si>
    <t>6AL006</t>
  </si>
  <si>
    <t>RR Notice AE3007A-076, Type 2</t>
  </si>
  <si>
    <t>J805</t>
  </si>
  <si>
    <t>6AL007</t>
  </si>
  <si>
    <t>Notice AE3007A-076, PAB fuel nozzle, LEC, Type 3</t>
  </si>
  <si>
    <t>J806</t>
  </si>
  <si>
    <t>6AL008</t>
  </si>
  <si>
    <t>AE3007A1/1</t>
  </si>
  <si>
    <t>J807</t>
  </si>
  <si>
    <t>6AL009</t>
  </si>
  <si>
    <t>RR Notice AE3007A-076, PAB fuel nozzles, Type 2</t>
  </si>
  <si>
    <t>J808</t>
  </si>
  <si>
    <t>6AL010</t>
  </si>
  <si>
    <t>J809</t>
  </si>
  <si>
    <t>6AL011</t>
  </si>
  <si>
    <t>J810</t>
  </si>
  <si>
    <t>6AL012</t>
  </si>
  <si>
    <t>J811</t>
  </si>
  <si>
    <t>6AL013</t>
  </si>
  <si>
    <t>J812</t>
  </si>
  <si>
    <t>6AL014</t>
  </si>
  <si>
    <t>AE3007A1P</t>
  </si>
  <si>
    <t>J813</t>
  </si>
  <si>
    <t>J814</t>
  </si>
  <si>
    <t>6AL016</t>
  </si>
  <si>
    <t>J815</t>
  </si>
  <si>
    <t>6AL017</t>
  </si>
  <si>
    <t>AE3007A3</t>
  </si>
  <si>
    <t>J816</t>
  </si>
  <si>
    <t>6AL018</t>
  </si>
  <si>
    <t>J817</t>
  </si>
  <si>
    <t>6AL019</t>
  </si>
  <si>
    <t>J818</t>
  </si>
  <si>
    <t>6AL020</t>
  </si>
  <si>
    <t>AE3007A1E</t>
  </si>
  <si>
    <t>J819</t>
  </si>
  <si>
    <t>RR Notice AE3007A-076; Type 1</t>
  </si>
  <si>
    <t>J820</t>
  </si>
  <si>
    <t>6AL022</t>
  </si>
  <si>
    <t>J822</t>
  </si>
  <si>
    <t>6AL024</t>
  </si>
  <si>
    <t>RR Notice AE3007A-076, PAB fuel nozzles, type 2</t>
  </si>
  <si>
    <t>J823</t>
  </si>
  <si>
    <t>13AL027</t>
  </si>
  <si>
    <t>AE3007C2</t>
  </si>
  <si>
    <t>AE3007/C2</t>
  </si>
  <si>
    <t>J824</t>
  </si>
  <si>
    <t>10AL026</t>
  </si>
  <si>
    <t>AE3007A2</t>
  </si>
  <si>
    <t>reduced emissions combustor &amp; AB fuel nozzles</t>
  </si>
  <si>
    <t>J850</t>
  </si>
  <si>
    <t>3BR001</t>
  </si>
  <si>
    <t>BR700-710A1-10</t>
  </si>
  <si>
    <t>BR700-710-48C2</t>
  </si>
  <si>
    <t>J851</t>
  </si>
  <si>
    <t>BR700-715A1-30</t>
  </si>
  <si>
    <t>J852</t>
  </si>
  <si>
    <t>4BR003</t>
  </si>
  <si>
    <t>BR700-715B1-30</t>
  </si>
  <si>
    <t>J853</t>
  </si>
  <si>
    <t>4BR004</t>
  </si>
  <si>
    <t>BR700-715C1-30</t>
  </si>
  <si>
    <t>J854</t>
  </si>
  <si>
    <t>BR700-710A2-20</t>
  </si>
  <si>
    <t>20. Oct 96 or later</t>
  </si>
  <si>
    <t>J855</t>
  </si>
  <si>
    <t>4BR005</t>
  </si>
  <si>
    <t>improved fuel injector, 29. Jun 99 or later</t>
  </si>
  <si>
    <t>J856</t>
  </si>
  <si>
    <t>4BR006</t>
  </si>
  <si>
    <t>J857</t>
  </si>
  <si>
    <t>4BR007</t>
  </si>
  <si>
    <t>J858</t>
  </si>
  <si>
    <t>4BR008</t>
  </si>
  <si>
    <t>J859</t>
  </si>
  <si>
    <t>6BR010</t>
  </si>
  <si>
    <t>BR700-710-C4-11</t>
  </si>
  <si>
    <t>BR700-710-C4</t>
  </si>
  <si>
    <t>J860</t>
  </si>
  <si>
    <t>11BR011</t>
  </si>
  <si>
    <t>BR700-725A1-12</t>
  </si>
  <si>
    <t>BR700-725A1</t>
  </si>
  <si>
    <t>revised engine data (2014)</t>
  </si>
  <si>
    <t>J900</t>
  </si>
  <si>
    <t>FAAEED204</t>
  </si>
  <si>
    <t>Olympus 593 Mk610</t>
  </si>
  <si>
    <t>Olympus</t>
  </si>
  <si>
    <t>J910</t>
  </si>
  <si>
    <t>8HN001</t>
  </si>
  <si>
    <t>AS907-1-1A</t>
  </si>
  <si>
    <t>J911</t>
  </si>
  <si>
    <t>11HN004</t>
  </si>
  <si>
    <t>HTF7250G</t>
  </si>
  <si>
    <t>AS907-2-1G</t>
  </si>
  <si>
    <t>J912</t>
  </si>
  <si>
    <t>11HN005</t>
  </si>
  <si>
    <t>J913</t>
  </si>
  <si>
    <t>11HN003</t>
  </si>
  <si>
    <t>HTF7000</t>
  </si>
  <si>
    <t>J914</t>
  </si>
  <si>
    <t>14HN006</t>
  </si>
  <si>
    <t>HTF7500E (A1)</t>
  </si>
  <si>
    <t>AS907-3-1E-A1</t>
  </si>
  <si>
    <t>J915</t>
  </si>
  <si>
    <t>14HN007</t>
  </si>
  <si>
    <t>HTF7500E (A2)</t>
  </si>
  <si>
    <t>AS907-3-1E-A2</t>
  </si>
  <si>
    <t>J916</t>
  </si>
  <si>
    <t>14HN008</t>
  </si>
  <si>
    <t>HTF7500E (A3)</t>
  </si>
  <si>
    <t>AS907-3-1E-A3</t>
  </si>
  <si>
    <t>J917</t>
  </si>
  <si>
    <t>14HN009</t>
  </si>
  <si>
    <t>HTF7350</t>
  </si>
  <si>
    <t>AS907-2-1A</t>
  </si>
  <si>
    <t>J918</t>
  </si>
  <si>
    <t>18HN010</t>
  </si>
  <si>
    <t>HTF7700L</t>
  </si>
  <si>
    <t>AS907-2-1S</t>
  </si>
  <si>
    <t>J930</t>
  </si>
  <si>
    <t>TAPS II</t>
  </si>
  <si>
    <t>J935</t>
  </si>
  <si>
    <t>LEAP-1A35</t>
  </si>
  <si>
    <t>LEAP-1A35A/33/33B2/32/30</t>
  </si>
  <si>
    <t>J938</t>
  </si>
  <si>
    <t>LEAP-1B25</t>
  </si>
  <si>
    <t>J939</t>
  </si>
  <si>
    <t>LEAP-1B27</t>
  </si>
  <si>
    <t>J940</t>
  </si>
  <si>
    <t>J950</t>
  </si>
  <si>
    <t>11PJ002</t>
  </si>
  <si>
    <t>SaM146-1S18</t>
  </si>
  <si>
    <t>SaM146</t>
  </si>
  <si>
    <t>PowerJet S.A.(Snecam/Saturn)</t>
  </si>
  <si>
    <t>J951</t>
  </si>
  <si>
    <t>11PJ001</t>
  </si>
  <si>
    <t>SaM146-1S17</t>
  </si>
  <si>
    <t>J990</t>
  </si>
  <si>
    <t>3CM026/3CM021</t>
  </si>
  <si>
    <t>CFM56-5B4/P/2P Intermix</t>
  </si>
  <si>
    <t>5B4 DAC Intermix</t>
  </si>
  <si>
    <t>Engine Intermix</t>
  </si>
  <si>
    <t>J991</t>
  </si>
  <si>
    <t>3CM026/8CM055</t>
  </si>
  <si>
    <t>CFM56-5B4/P/3 Intermix</t>
  </si>
  <si>
    <t>5B4 Tech Ins. Intermix</t>
  </si>
  <si>
    <t>J992</t>
  </si>
  <si>
    <t>8CM057/3CM028</t>
  </si>
  <si>
    <t>CFM56-5B6/P/3 Intermix</t>
  </si>
  <si>
    <t>5B6 Tech Ins. Intermix</t>
  </si>
  <si>
    <t>J993</t>
  </si>
  <si>
    <t>3CM028/3CM022</t>
  </si>
  <si>
    <t>CFM56-5B6/P/2P Intermix</t>
  </si>
  <si>
    <t>5B6 DAC Intermix</t>
  </si>
  <si>
    <t>P001</t>
  </si>
  <si>
    <t>FAEED162</t>
  </si>
  <si>
    <t>P</t>
  </si>
  <si>
    <t>Prop-200hp</t>
  </si>
  <si>
    <t>piston up to 200 PS</t>
  </si>
  <si>
    <t>P002</t>
  </si>
  <si>
    <t>Prop-300hp</t>
  </si>
  <si>
    <t>piston 201-300 PS</t>
  </si>
  <si>
    <t>P003</t>
  </si>
  <si>
    <t>FAEED165</t>
  </si>
  <si>
    <t>Prop-500hp</t>
  </si>
  <si>
    <t>piston 301-500 PS</t>
  </si>
  <si>
    <t>P004</t>
  </si>
  <si>
    <t>Prop&gt;500hp</t>
  </si>
  <si>
    <t>piston over  500 PS</t>
  </si>
  <si>
    <t>P011</t>
  </si>
  <si>
    <t>FAEED159</t>
  </si>
  <si>
    <t>O-200</t>
  </si>
  <si>
    <t>O-200-...</t>
  </si>
  <si>
    <t>Teledyne/Continental</t>
  </si>
  <si>
    <t>P012</t>
  </si>
  <si>
    <t>O-320</t>
  </si>
  <si>
    <t>P111</t>
  </si>
  <si>
    <t>FAEED163</t>
  </si>
  <si>
    <t>IO-320-DIAD</t>
  </si>
  <si>
    <t>IO-320-...</t>
  </si>
  <si>
    <t>P112</t>
  </si>
  <si>
    <t>FAEED164</t>
  </si>
  <si>
    <t>IO-360-B</t>
  </si>
  <si>
    <t>IO-360-</t>
  </si>
  <si>
    <t>P121</t>
  </si>
  <si>
    <t>TIO-540-J2B2</t>
  </si>
  <si>
    <t>TIO-540-...</t>
  </si>
  <si>
    <t>P131</t>
  </si>
  <si>
    <t>TSIO-360C</t>
  </si>
  <si>
    <t>TSIO-360-...</t>
  </si>
  <si>
    <t>PF01</t>
  </si>
  <si>
    <t>IO-550-B</t>
  </si>
  <si>
    <t>IO-550</t>
  </si>
  <si>
    <t>PF02</t>
  </si>
  <si>
    <t>O-360-A3A</t>
  </si>
  <si>
    <t>O-360</t>
  </si>
  <si>
    <t>PF03</t>
  </si>
  <si>
    <t>IO-360</t>
  </si>
  <si>
    <t>PF04</t>
  </si>
  <si>
    <t>Rotax 914</t>
  </si>
  <si>
    <t>Rotax 914 F..</t>
  </si>
  <si>
    <t>PF05</t>
  </si>
  <si>
    <t>Rotax 912S</t>
  </si>
  <si>
    <t>Rotax 912S-..</t>
  </si>
  <si>
    <t>PF06</t>
  </si>
  <si>
    <t>Rotax 912</t>
  </si>
  <si>
    <t>PF07</t>
  </si>
  <si>
    <t>TSIO-520-WB</t>
  </si>
  <si>
    <t>TSIO-520</t>
  </si>
  <si>
    <t>PF08</t>
  </si>
  <si>
    <t>O-320-E2A</t>
  </si>
  <si>
    <t>In flight measurement</t>
  </si>
  <si>
    <t>PF09</t>
  </si>
  <si>
    <t>Rotax 582 DCDI</t>
  </si>
  <si>
    <t>Rotax 582</t>
  </si>
  <si>
    <t>PF10</t>
  </si>
  <si>
    <t>TAE-125-01</t>
  </si>
  <si>
    <t>TAE-125, Centurion</t>
  </si>
  <si>
    <t>Thielert Aircraft Engines</t>
  </si>
  <si>
    <t>Turbodiesel</t>
  </si>
  <si>
    <t>PF11</t>
  </si>
  <si>
    <t>O-540-J3C5D</t>
  </si>
  <si>
    <t>O-540</t>
  </si>
  <si>
    <t>PF12</t>
  </si>
  <si>
    <t>IO-540-T4A5D</t>
  </si>
  <si>
    <t>IO-540</t>
  </si>
  <si>
    <t>PF13</t>
  </si>
  <si>
    <t>Centurion 4.0</t>
  </si>
  <si>
    <t>Turbodiesel, data based on PF10</t>
  </si>
  <si>
    <t>PF14</t>
  </si>
  <si>
    <t>AE300</t>
  </si>
  <si>
    <t>Austro Engine</t>
  </si>
  <si>
    <t>T001</t>
  </si>
  <si>
    <t>FOCA/PWC</t>
  </si>
  <si>
    <t>T</t>
  </si>
  <si>
    <t>TP-1000hp</t>
  </si>
  <si>
    <t>Turboprop up to 1000 HP</t>
  </si>
  <si>
    <t>T002</t>
  </si>
  <si>
    <t>FAEED220</t>
  </si>
  <si>
    <t>TP&gt;1000hp</t>
  </si>
  <si>
    <t>Turboprop over 1000 HP</t>
  </si>
  <si>
    <t>T011</t>
  </si>
  <si>
    <t>T012</t>
  </si>
  <si>
    <t>T031</t>
  </si>
  <si>
    <t>PWC/FOI</t>
  </si>
  <si>
    <t>PW120</t>
  </si>
  <si>
    <t>T032</t>
  </si>
  <si>
    <t>PW120A</t>
  </si>
  <si>
    <t>T033</t>
  </si>
  <si>
    <t>PW 125... -</t>
  </si>
  <si>
    <t>T034</t>
  </si>
  <si>
    <t>PW124B</t>
  </si>
  <si>
    <t>T051</t>
  </si>
  <si>
    <t>CT7-5A2</t>
  </si>
  <si>
    <t>CT7-5, -5A, -5A2, -7E</t>
  </si>
  <si>
    <t>T053</t>
  </si>
  <si>
    <t>CT7-9...</t>
  </si>
  <si>
    <t>T070</t>
  </si>
  <si>
    <t>FAEED137</t>
  </si>
  <si>
    <t>TPE331-2</t>
  </si>
  <si>
    <t>AlliedSignal/Garrett</t>
  </si>
  <si>
    <t>T071</t>
  </si>
  <si>
    <t>TPE331-3</t>
  </si>
  <si>
    <t>TPE331-3.., -4, -5, -...</t>
  </si>
  <si>
    <t>T101</t>
  </si>
  <si>
    <t>RR DART RDa7</t>
  </si>
  <si>
    <t>RDa7</t>
  </si>
  <si>
    <t>T102</t>
  </si>
  <si>
    <t>FAEED225</t>
  </si>
  <si>
    <t>RR DART RDa10</t>
  </si>
  <si>
    <t>RDa10</t>
  </si>
  <si>
    <t>T111</t>
  </si>
  <si>
    <t>RR DART 514-7</t>
  </si>
  <si>
    <t>RR Dart 514-...</t>
  </si>
  <si>
    <t>T113</t>
  </si>
  <si>
    <t>RR DART 528-7E</t>
  </si>
  <si>
    <t>RR Dart 520-... to 529-...</t>
  </si>
  <si>
    <t>T114</t>
  </si>
  <si>
    <t>RR DART 535-7R</t>
  </si>
  <si>
    <t>RR Dart 535-... to 539-...</t>
  </si>
  <si>
    <t>T120</t>
  </si>
  <si>
    <t>RR DART 542-4</t>
  </si>
  <si>
    <t>RR Dart 542-...</t>
  </si>
  <si>
    <t>T125</t>
  </si>
  <si>
    <t>RR DART 552-7R</t>
  </si>
  <si>
    <t>RR Dart 550-... to 559-...</t>
  </si>
  <si>
    <t>T140</t>
  </si>
  <si>
    <t>FAEED157</t>
  </si>
  <si>
    <t>TYNE</t>
  </si>
  <si>
    <t>T150</t>
  </si>
  <si>
    <t>Allison</t>
  </si>
  <si>
    <t>T201</t>
  </si>
  <si>
    <t>AE2100A</t>
  </si>
  <si>
    <t>AE2100..., GMA2100...</t>
  </si>
  <si>
    <t>T300</t>
  </si>
  <si>
    <t>TPE331-1</t>
  </si>
  <si>
    <t>T301</t>
  </si>
  <si>
    <t>TPE331-10A</t>
  </si>
  <si>
    <t>T302</t>
  </si>
  <si>
    <t>TPE331-10G</t>
  </si>
  <si>
    <t>T303</t>
  </si>
  <si>
    <t>TPE331-10GT</t>
  </si>
  <si>
    <t>T304</t>
  </si>
  <si>
    <t>TPE331-10N</t>
  </si>
  <si>
    <t>T305</t>
  </si>
  <si>
    <t>TPE331-10R</t>
  </si>
  <si>
    <t>T306</t>
  </si>
  <si>
    <t>TPE331-10U</t>
  </si>
  <si>
    <t>T307</t>
  </si>
  <si>
    <t>TPE331-10UA</t>
  </si>
  <si>
    <t>T308</t>
  </si>
  <si>
    <t>TPE331-10UG</t>
  </si>
  <si>
    <t>T309</t>
  </si>
  <si>
    <t>TPE331-10UK</t>
  </si>
  <si>
    <t>T310</t>
  </si>
  <si>
    <t>TPE331-11U-601G</t>
  </si>
  <si>
    <t>T312</t>
  </si>
  <si>
    <t>TPE331-12B</t>
  </si>
  <si>
    <t>T314</t>
  </si>
  <si>
    <t>TPE331-12UA</t>
  </si>
  <si>
    <t>T315</t>
  </si>
  <si>
    <t>TPE331-12UHR</t>
  </si>
  <si>
    <t>T317</t>
  </si>
  <si>
    <t>TPE331-14B</t>
  </si>
  <si>
    <t>T318</t>
  </si>
  <si>
    <t>T320</t>
  </si>
  <si>
    <t>TPE331-15AW</t>
  </si>
  <si>
    <t>T322</t>
  </si>
  <si>
    <t>TPE331-1UA</t>
  </si>
  <si>
    <t>T323</t>
  </si>
  <si>
    <t>TPE331-2UA</t>
  </si>
  <si>
    <t>T324</t>
  </si>
  <si>
    <t>TPE331-3U</t>
  </si>
  <si>
    <t>T325</t>
  </si>
  <si>
    <t>TPE331-3W</t>
  </si>
  <si>
    <t>T326</t>
  </si>
  <si>
    <t>TPE331-5A</t>
  </si>
  <si>
    <t>T327</t>
  </si>
  <si>
    <t>TPE331-5B</t>
  </si>
  <si>
    <t>T328</t>
  </si>
  <si>
    <t>TPE331-6</t>
  </si>
  <si>
    <t>T401</t>
  </si>
  <si>
    <t>501 D13</t>
  </si>
  <si>
    <t>T404</t>
  </si>
  <si>
    <t>T56-A-14</t>
  </si>
  <si>
    <t>T405</t>
  </si>
  <si>
    <t>T56-A-15</t>
  </si>
  <si>
    <t>T500</t>
  </si>
  <si>
    <t>TP400-D6</t>
  </si>
  <si>
    <t>TP400</t>
  </si>
  <si>
    <t>T600</t>
  </si>
  <si>
    <t>AI-24VT</t>
  </si>
  <si>
    <t>T701</t>
  </si>
  <si>
    <t>PT6A-11</t>
  </si>
  <si>
    <t>T702</t>
  </si>
  <si>
    <t>PT6A-110</t>
  </si>
  <si>
    <t>T703</t>
  </si>
  <si>
    <t>T704</t>
  </si>
  <si>
    <t>PT6A-114</t>
  </si>
  <si>
    <t>T705</t>
  </si>
  <si>
    <t>PT6A-114A</t>
  </si>
  <si>
    <t>T708</t>
  </si>
  <si>
    <t>PT6A-121</t>
  </si>
  <si>
    <t>T710</t>
  </si>
  <si>
    <t>PT6A-135A</t>
  </si>
  <si>
    <t>T712</t>
  </si>
  <si>
    <t>PT6A-15AG</t>
  </si>
  <si>
    <t>T714</t>
  </si>
  <si>
    <t>PT6A-20</t>
  </si>
  <si>
    <t>T716</t>
  </si>
  <si>
    <t>PT6A-21</t>
  </si>
  <si>
    <t>T717</t>
  </si>
  <si>
    <t>PT6A-25A</t>
  </si>
  <si>
    <t>PT6A-25A (PC7)</t>
  </si>
  <si>
    <t>T718</t>
  </si>
  <si>
    <t>PT6A-25C</t>
  </si>
  <si>
    <t>T720</t>
  </si>
  <si>
    <t>PT6A-34</t>
  </si>
  <si>
    <t>T722</t>
  </si>
  <si>
    <t>PT6A-38</t>
  </si>
  <si>
    <t>T724</t>
  </si>
  <si>
    <t>PT6A-40</t>
  </si>
  <si>
    <t>T726</t>
  </si>
  <si>
    <t>PT6A-41</t>
  </si>
  <si>
    <t>T728</t>
  </si>
  <si>
    <t>T730</t>
  </si>
  <si>
    <t>PT6A-45A</t>
  </si>
  <si>
    <t>T731</t>
  </si>
  <si>
    <t>PT6A-45AG</t>
  </si>
  <si>
    <t>T732</t>
  </si>
  <si>
    <t>PT6A-45B</t>
  </si>
  <si>
    <t>T733</t>
  </si>
  <si>
    <t>PT6A-45R</t>
  </si>
  <si>
    <t>T735</t>
  </si>
  <si>
    <t>T736</t>
  </si>
  <si>
    <t>PT6A-52</t>
  </si>
  <si>
    <t>T737</t>
  </si>
  <si>
    <t>PT6A-60</t>
  </si>
  <si>
    <t>T738</t>
  </si>
  <si>
    <t>T739</t>
  </si>
  <si>
    <t>PT6A-60AG</t>
  </si>
  <si>
    <t>T741</t>
  </si>
  <si>
    <t>PT6A-61</t>
  </si>
  <si>
    <t>T743</t>
  </si>
  <si>
    <t>T745</t>
  </si>
  <si>
    <t>T747</t>
  </si>
  <si>
    <t>PT6A-65AG</t>
  </si>
  <si>
    <t>T748</t>
  </si>
  <si>
    <t>T749</t>
  </si>
  <si>
    <t>PT6A-65B</t>
  </si>
  <si>
    <t>T750</t>
  </si>
  <si>
    <t>PT6A-65R</t>
  </si>
  <si>
    <t>T752</t>
  </si>
  <si>
    <t>T754</t>
  </si>
  <si>
    <t>PT6A-67</t>
  </si>
  <si>
    <t>T755</t>
  </si>
  <si>
    <t>PT6A-67A</t>
  </si>
  <si>
    <t>T756</t>
  </si>
  <si>
    <t>PT6A-67AF</t>
  </si>
  <si>
    <t>T757</t>
  </si>
  <si>
    <t>PT6A-67AG</t>
  </si>
  <si>
    <t>T758</t>
  </si>
  <si>
    <t>T759</t>
  </si>
  <si>
    <t>PT6A-67CF</t>
  </si>
  <si>
    <t>T760</t>
  </si>
  <si>
    <t>T761</t>
  </si>
  <si>
    <t>PT6A-67R</t>
  </si>
  <si>
    <t>T763</t>
  </si>
  <si>
    <t>T764</t>
  </si>
  <si>
    <t>PT6A-140</t>
  </si>
  <si>
    <t>T765</t>
  </si>
  <si>
    <t>PW118</t>
  </si>
  <si>
    <t>T766</t>
  </si>
  <si>
    <t>T767</t>
  </si>
  <si>
    <t>PW118B</t>
  </si>
  <si>
    <t>T769</t>
  </si>
  <si>
    <t>T770</t>
  </si>
  <si>
    <t>PW119C</t>
  </si>
  <si>
    <t>T775</t>
  </si>
  <si>
    <t>PW121</t>
  </si>
  <si>
    <t>T776</t>
  </si>
  <si>
    <t>PW121A</t>
  </si>
  <si>
    <t>T778</t>
  </si>
  <si>
    <t>PW123</t>
  </si>
  <si>
    <t>T779</t>
  </si>
  <si>
    <t>PW123B</t>
  </si>
  <si>
    <t>T780</t>
  </si>
  <si>
    <t>PW123C</t>
  </si>
  <si>
    <t>T781</t>
  </si>
  <si>
    <t>PW123D</t>
  </si>
  <si>
    <t>T782</t>
  </si>
  <si>
    <t>PW123E</t>
  </si>
  <si>
    <t>T788</t>
  </si>
  <si>
    <t>PW126A</t>
  </si>
  <si>
    <t>T790</t>
  </si>
  <si>
    <t>PW127</t>
  </si>
  <si>
    <t>T791</t>
  </si>
  <si>
    <t>PW127B</t>
  </si>
  <si>
    <t>T792</t>
  </si>
  <si>
    <t>PW127C</t>
  </si>
  <si>
    <t>T793</t>
  </si>
  <si>
    <t>PW127D</t>
  </si>
  <si>
    <t>T794</t>
  </si>
  <si>
    <t>T795</t>
  </si>
  <si>
    <t>T796</t>
  </si>
  <si>
    <t>PW127G</t>
  </si>
  <si>
    <t>T798</t>
  </si>
  <si>
    <t>PW150A</t>
  </si>
  <si>
    <t>T800</t>
  </si>
  <si>
    <t>RR DART 514</t>
  </si>
  <si>
    <t>DART 514</t>
  </si>
  <si>
    <t>T802</t>
  </si>
  <si>
    <t>RR DART 552</t>
  </si>
  <si>
    <t>DART 552</t>
  </si>
  <si>
    <t>T999</t>
  </si>
  <si>
    <t>Turboprop diverse large</t>
  </si>
  <si>
    <t>Turboprop large</t>
  </si>
  <si>
    <t>#eng</t>
  </si>
  <si>
    <t>K</t>
  </si>
  <si>
    <t>A</t>
  </si>
  <si>
    <t>Jet-A1 only</t>
  </si>
  <si>
    <t>Declared amount of SAF</t>
  </si>
  <si>
    <t>%</t>
  </si>
  <si>
    <t xml:space="preserve">New total fuel/emissions </t>
  </si>
  <si>
    <t xml:space="preserve">Total </t>
  </si>
  <si>
    <t>Emissions in relation to baseline</t>
  </si>
  <si>
    <t>AVGAS fuel/emissions</t>
  </si>
  <si>
    <t>Jet-A1 fuel/emissions</t>
  </si>
  <si>
    <t>EI Start-up</t>
  </si>
  <si>
    <t>Beech 400*</t>
  </si>
  <si>
    <t>Fuel Specifications</t>
  </si>
  <si>
    <t>Percentage of SAF used:</t>
  </si>
  <si>
    <t>% on total Jet A-1.</t>
  </si>
  <si>
    <t>Fuel Specifications:</t>
  </si>
  <si>
    <t>Emission vs Fossil Fuel:</t>
  </si>
  <si>
    <t>% NOx</t>
  </si>
  <si>
    <t>% HC</t>
  </si>
  <si>
    <t>% CO</t>
  </si>
  <si>
    <t>% PM (mass)</t>
  </si>
  <si>
    <t>% SOx</t>
  </si>
  <si>
    <t>% CO2</t>
  </si>
  <si>
    <t>Fuel Specs:</t>
  </si>
  <si>
    <t>(w/o SAF)</t>
  </si>
  <si>
    <t>(w SAF)</t>
  </si>
  <si>
    <t>US gallons</t>
  </si>
  <si>
    <t>Emissions are the fugitive emissions of Jet A-1 and AVGAS when fuelling the aircraft (either through pits or trucks). Emission factors were obtained from industry and measurements at Zurich Airport in the 1990.</t>
  </si>
  <si>
    <r>
      <t>The KPI on the per Capita CO</t>
    </r>
    <r>
      <rPr>
        <vertAlign val="subscript"/>
        <sz val="10"/>
        <color theme="1"/>
        <rFont val="Arial"/>
        <family val="2"/>
      </rPr>
      <t>2</t>
    </r>
    <r>
      <rPr>
        <sz val="10"/>
        <color theme="1"/>
        <rFont val="Arial"/>
        <family val="2"/>
      </rPr>
      <t xml:space="preserve"> emissions is derived from: Worldbank: World Development Indicators, 2014. </t>
    </r>
  </si>
  <si>
    <t>tPM</t>
  </si>
  <si>
    <t>total particle matter (the sum of volatile and non-volatile PM)</t>
  </si>
  <si>
    <r>
      <t>kg CO</t>
    </r>
    <r>
      <rPr>
        <vertAlign val="subscript"/>
        <sz val="10"/>
        <color theme="1"/>
        <rFont val="Arial"/>
        <family val="2"/>
      </rPr>
      <t>2</t>
    </r>
    <r>
      <rPr>
        <sz val="10"/>
        <color theme="1"/>
        <rFont val="Arial"/>
        <family val="2"/>
      </rPr>
      <t>/TU</t>
    </r>
  </si>
  <si>
    <r>
      <t>kg CO</t>
    </r>
    <r>
      <rPr>
        <vertAlign val="subscript"/>
        <sz val="10"/>
        <color theme="1"/>
        <rFont val="Arial"/>
        <family val="2"/>
      </rPr>
      <t>2</t>
    </r>
    <r>
      <rPr>
        <sz val="10"/>
        <color theme="1"/>
        <rFont val="Arial"/>
        <family val="2"/>
      </rPr>
      <t>/pax</t>
    </r>
  </si>
  <si>
    <t>UID/Source</t>
  </si>
  <si>
    <t>Manufacturer_ID</t>
  </si>
  <si>
    <t>Type_ID</t>
  </si>
  <si>
    <t>FF_To/MES</t>
  </si>
  <si>
    <t>FF_Cl/ECS</t>
  </si>
  <si>
    <t>FF_App/NL</t>
  </si>
  <si>
    <t>FF_Taxi</t>
  </si>
  <si>
    <t>NOx_To</t>
  </si>
  <si>
    <t>NOx_Cl</t>
  </si>
  <si>
    <t>NOx_App</t>
  </si>
  <si>
    <t>NOx_Taxi</t>
  </si>
  <si>
    <t>VOC_To</t>
  </si>
  <si>
    <t>VOC_Cl</t>
  </si>
  <si>
    <t>VOC_App</t>
  </si>
  <si>
    <t>VOC_Taxi</t>
  </si>
  <si>
    <t>CO_To</t>
  </si>
  <si>
    <t>CO_Cl</t>
  </si>
  <si>
    <t>CO_App</t>
  </si>
  <si>
    <t>CO_Taxi</t>
  </si>
  <si>
    <t>Thrust</t>
  </si>
  <si>
    <t>Test_year</t>
  </si>
  <si>
    <t>A001</t>
  </si>
  <si>
    <t>APU A320, A321</t>
  </si>
  <si>
    <t>A002</t>
  </si>
  <si>
    <t>131-9[B]</t>
  </si>
  <si>
    <t>APU B737-700</t>
  </si>
  <si>
    <t>A003</t>
  </si>
  <si>
    <t>131-9[D]</t>
  </si>
  <si>
    <t>APU MD90</t>
  </si>
  <si>
    <t>A010</t>
  </si>
  <si>
    <t>331-200[ER]</t>
  </si>
  <si>
    <t>APU B757-200, B767-300</t>
  </si>
  <si>
    <t>uncertified manufacturer data, ACRP for PM</t>
  </si>
  <si>
    <t>A011</t>
  </si>
  <si>
    <t>331-250</t>
  </si>
  <si>
    <t>APU A310, A300-60</t>
  </si>
  <si>
    <t>A012</t>
  </si>
  <si>
    <t>331-350</t>
  </si>
  <si>
    <t>APU A330, A340</t>
  </si>
  <si>
    <t>A013</t>
  </si>
  <si>
    <t>331-400[B]</t>
  </si>
  <si>
    <t>APU B767-400</t>
  </si>
  <si>
    <t>A014</t>
  </si>
  <si>
    <t>331-500</t>
  </si>
  <si>
    <t>APU B777</t>
  </si>
  <si>
    <t>A015</t>
  </si>
  <si>
    <t>331-600</t>
  </si>
  <si>
    <t>A020</t>
  </si>
  <si>
    <t>36-150[M]</t>
  </si>
  <si>
    <t>APU BAE146-300</t>
  </si>
  <si>
    <t>A021</t>
  </si>
  <si>
    <t>36-280[B]</t>
  </si>
  <si>
    <t>APU B737-400</t>
  </si>
  <si>
    <t>A030</t>
  </si>
  <si>
    <t>700-4B</t>
  </si>
  <si>
    <t>APU DC10, MD11</t>
  </si>
  <si>
    <t>A040</t>
  </si>
  <si>
    <t>85-129[H]</t>
  </si>
  <si>
    <t>uncertified manufacturer data, PM MST</t>
  </si>
  <si>
    <t>A041</t>
  </si>
  <si>
    <t>85-98</t>
  </si>
  <si>
    <t>APU B727-100</t>
  </si>
  <si>
    <t>A042</t>
  </si>
  <si>
    <t>85-98C</t>
  </si>
  <si>
    <t>APU B727-200</t>
  </si>
  <si>
    <t>A050</t>
  </si>
  <si>
    <t>RE220(FD)</t>
  </si>
  <si>
    <t>APU DO738</t>
  </si>
  <si>
    <t>A051</t>
  </si>
  <si>
    <t>RE220(GV)</t>
  </si>
  <si>
    <t>APU Gulfstream V</t>
  </si>
  <si>
    <t>A052</t>
  </si>
  <si>
    <t>RE220(RJ)</t>
  </si>
  <si>
    <t>APU CRJ700</t>
  </si>
  <si>
    <t>Hamilton S.</t>
  </si>
  <si>
    <t>A100</t>
  </si>
  <si>
    <t>Hamilton Sundstrand</t>
  </si>
  <si>
    <t>APS5000</t>
  </si>
  <si>
    <t>APU B787</t>
  </si>
  <si>
    <t>uncertified manufacturer data, all electric APU</t>
  </si>
  <si>
    <t>Generic, PM FOCA FOA B</t>
  </si>
  <si>
    <t>TFE731-5A, PM FOCA FOA B</t>
  </si>
  <si>
    <t>uncertified manufacturer data, PM FOCA FOA B</t>
  </si>
  <si>
    <t>FOCA FOA B</t>
  </si>
  <si>
    <t>out of prod., PM FOCA FOA B</t>
  </si>
  <si>
    <t>out of prod. Calvert SN calculation</t>
  </si>
  <si>
    <t>uncertified manufacturer data, PM from B004</t>
  </si>
  <si>
    <t>Data from B075. PW545C is FADEC version of PW545B</t>
  </si>
  <si>
    <t>PM FOCA FOA B</t>
  </si>
  <si>
    <t>TFE738-1 (Falcon 2000)</t>
  </si>
  <si>
    <t>TFE731-5 (Falcon 20, 900)</t>
  </si>
  <si>
    <t>TFE731-5A (Falcon 20, 900)</t>
  </si>
  <si>
    <t>TFE731-5B (Falcon 20, 900)</t>
  </si>
  <si>
    <t>TFE731-60 (Falcon 900EX)</t>
  </si>
  <si>
    <t>TFE731-40-1C (Falcon 50EX)</t>
  </si>
  <si>
    <t>TFE731-40 (G100)</t>
  </si>
  <si>
    <t>TFE731-20 (LJ45)</t>
  </si>
  <si>
    <t>uncertified man. data, SN cert, PM estimated</t>
  </si>
  <si>
    <t>E001</t>
  </si>
  <si>
    <t>E</t>
  </si>
  <si>
    <t>Electric Engine</t>
  </si>
  <si>
    <t>Electric Propulsion</t>
  </si>
  <si>
    <t>Turboshaft, Cl 77%, App 38%, Taxi 19%</t>
  </si>
  <si>
    <t>Twin Light Engine, Cl 78%, App 38%, Taxi 7%</t>
  </si>
  <si>
    <t>PW207C
PW207C</t>
  </si>
  <si>
    <t>Twin Engine, Cl 66%, App 32%, Taxi 6%</t>
  </si>
  <si>
    <t>Twin Heavy Engine, Cl 66%, App 32%, Taxi 6%</t>
  </si>
  <si>
    <t>Twin Heavy Engine (Klimov)Cl 66%, App 32%, Taxi 6%</t>
  </si>
  <si>
    <t>FOCA/DLR PM loss corrected</t>
  </si>
  <si>
    <t>Single Engine, Cl 95%, App 60%, Taxi 20%</t>
  </si>
  <si>
    <t>TALON II</t>
  </si>
  <si>
    <t>Combustion system design change vs J005</t>
  </si>
  <si>
    <t>SAC Engine S/N 779-194/1, Calvert SN calculation</t>
  </si>
  <si>
    <t>DAC, Calvert SN calculation</t>
  </si>
  <si>
    <t>SAC Engine S/N 740/105, Calvert SN calculation</t>
  </si>
  <si>
    <t>SAC Engine S/N 740-105, Calvert SN calculation</t>
  </si>
  <si>
    <t>Tech Insertion, PM FOCA Cert. Data</t>
  </si>
  <si>
    <t>DAC, out of prod., Calvert SN calculation</t>
  </si>
  <si>
    <t>out of prod., Set SN &gt; 0 for App Taxi</t>
  </si>
  <si>
    <t>Engine S/N 779-194/1, Calvert SN calculation</t>
  </si>
  <si>
    <t>Engine S/N 965202, Set SN &gt; 0 for App Taxi</t>
  </si>
  <si>
    <t>LEC, Set SN &gt; 0 for App Taxi</t>
  </si>
  <si>
    <t>Engine S/N 193111, LEC, Set SN &gt; 0 for App Taxi</t>
  </si>
  <si>
    <t>28. Jan 02 or later, Set SN &gt; 0 for App Taxi</t>
  </si>
  <si>
    <t>J099</t>
  </si>
  <si>
    <t>17. Jan 95 or later, Set SN &gt; 0 for App Taxi</t>
  </si>
  <si>
    <t>1862M39 combustor, Set SN &gt; 0 for App Taxi</t>
  </si>
  <si>
    <t>1862M39 combustor, 17. Jan 95 or later, SN &gt; 0 A T</t>
  </si>
  <si>
    <t>16. Mrz 96 or later, Set SN &gt; 0 for App Taxi</t>
  </si>
  <si>
    <t>standard combustor, Set SN &gt; 0 for App Taxi</t>
  </si>
  <si>
    <t>standard combustor, out of prod., Calvert SN</t>
  </si>
  <si>
    <t>J135</t>
  </si>
  <si>
    <t>CF34-10E5 and -10E6</t>
  </si>
  <si>
    <t>out of prod., Calvert SN calculation</t>
  </si>
  <si>
    <t>Replaced by J153, 1GE016, Calvert SN calculation</t>
  </si>
  <si>
    <t>Replaced by J133, 1GE018, Calvert SN calculation</t>
  </si>
  <si>
    <t>Replaced by J134, 1GE020, Calvert SN calculation</t>
  </si>
  <si>
    <t>out of prod.,Calvert SN calculation</t>
  </si>
  <si>
    <t>Set SN &gt; 0 for App Taxi</t>
  </si>
  <si>
    <t>Set SN &gt; 0 for Cl, App, Taxi</t>
  </si>
  <si>
    <t>Increased thrust, Calvert SN calculation</t>
  </si>
  <si>
    <t>8IA009</t>
  </si>
  <si>
    <t>GEnx-1B54</t>
  </si>
  <si>
    <t>GEnx-1B58</t>
  </si>
  <si>
    <t>GEnx-1B64</t>
  </si>
  <si>
    <t>GEnx-1B67</t>
  </si>
  <si>
    <t>GEnx-1B70</t>
  </si>
  <si>
    <t>GEnx-2B67</t>
  </si>
  <si>
    <t>out of prod., with 14-7 SN=18,</t>
  </si>
  <si>
    <t>out of prod.Calvert SN calculation</t>
  </si>
  <si>
    <t>Annular combustor, Calvert SN calculation</t>
  </si>
  <si>
    <t>1/1984 or later, out of prod., Calvert SN</t>
  </si>
  <si>
    <t>1.1.1984 or later, out of prod., Calvert SN</t>
  </si>
  <si>
    <t>46-16B combustor, Calvert SN calculation</t>
  </si>
  <si>
    <t>Smoke fix, out of prod. Jun 80, Calvert SN</t>
  </si>
  <si>
    <t>E-Kit 5/1999 or later, out of prod., Calvert SN</t>
  </si>
  <si>
    <t>E-Kit 5/1999 or later, Set SN &gt; 0 for Taxi</t>
  </si>
  <si>
    <t>E-Kit 5/1999 or later, out of prod., SN &gt; 0 Taxi</t>
  </si>
  <si>
    <t>Emission reduction, out of prod., Calvert SN</t>
  </si>
  <si>
    <t>Smoke fix, out of prod., Calvert SN calculation</t>
  </si>
  <si>
    <t>Mod V combustor, out of prod., Calvert SN</t>
  </si>
  <si>
    <t>out of prod., also for An-124 (D-18T), Calvert SN</t>
  </si>
  <si>
    <t xml:space="preserve"> based on J354, Calvert SN calculation</t>
  </si>
  <si>
    <t>SN from J432</t>
  </si>
  <si>
    <t>reduced em., out of prod., Calvert SN calculation</t>
  </si>
  <si>
    <t>Talon II combustor, Calvert SN calculation</t>
  </si>
  <si>
    <t>Talon II, Calvert SN calculation</t>
  </si>
  <si>
    <t>Phase 3, out of prod., Calvert SN calculation</t>
  </si>
  <si>
    <t>19PW127</t>
  </si>
  <si>
    <t>revised</t>
  </si>
  <si>
    <t>19PW128</t>
  </si>
  <si>
    <t>Phase 2, out of prod., Calvert SN calculation</t>
  </si>
  <si>
    <t>out of prod. April 91, superseded</t>
  </si>
  <si>
    <t>out of prod. Mai 99, Calvert SN calculation</t>
  </si>
  <si>
    <t>Phase 2, Calvert SN calculation</t>
  </si>
  <si>
    <t>Phase 5, Mai 99 or later, Calvert SN calculation</t>
  </si>
  <si>
    <t>Transply IIH, out of prod., Calvert SN calculation</t>
  </si>
  <si>
    <t>Transply II, Nov. 84 or later, Calvert SN</t>
  </si>
  <si>
    <t>Transply IIF, out of prod., Calvert SN calculation</t>
  </si>
  <si>
    <t>out of prod. Aug. 85, Calvert SN calculation</t>
  </si>
  <si>
    <t>Pedhead combustor, Calvert SN calculation</t>
  </si>
  <si>
    <t>Pedhead combustor, Jun. 97 or later, Calvert SN</t>
  </si>
  <si>
    <t>Transply, out of prod., Calvert SN calculation</t>
  </si>
  <si>
    <t>ITC, Calvert SN calculation</t>
  </si>
  <si>
    <t>772B and C as well</t>
  </si>
  <si>
    <t>out of prod. Oct. 89, Calvert SN calculation</t>
  </si>
  <si>
    <t>TAY 611-8C (2011)</t>
  </si>
  <si>
    <t>Trent 500</t>
  </si>
  <si>
    <t>Manufacturer data, not certified, SN from J668</t>
  </si>
  <si>
    <t>Trent 875</t>
  </si>
  <si>
    <t>Trent 877</t>
  </si>
  <si>
    <t>Trent 884</t>
  </si>
  <si>
    <t>Trent 890</t>
  </si>
  <si>
    <t>Trent 892</t>
  </si>
  <si>
    <t>Trent 895</t>
  </si>
  <si>
    <t>Phase 5 Tiled, revised 2012</t>
  </si>
  <si>
    <t>For YK-42, updated, Calvert SN calculation</t>
  </si>
  <si>
    <t>D-36
D-36</t>
  </si>
  <si>
    <t>Series 4A, Calvert SN calculation</t>
  </si>
  <si>
    <t>CAEP/4 Nox compliant version, Calvert SN</t>
  </si>
  <si>
    <t>out of prod., SN from J710</t>
  </si>
  <si>
    <t>14. Jun 90 or later, NOx from J713,  SN J713</t>
  </si>
  <si>
    <t>19RR085</t>
  </si>
  <si>
    <t>J720</t>
  </si>
  <si>
    <t>Trent 1000-AE3</t>
  </si>
  <si>
    <t>19RR086</t>
  </si>
  <si>
    <t>J721</t>
  </si>
  <si>
    <t>Trent 1000-CE3</t>
  </si>
  <si>
    <t>19RR087</t>
  </si>
  <si>
    <t>J722</t>
  </si>
  <si>
    <t>Trent 1000-D3</t>
  </si>
  <si>
    <t>19RR088</t>
  </si>
  <si>
    <t>J723</t>
  </si>
  <si>
    <t>Trent 1000-G3</t>
  </si>
  <si>
    <t>19RR089</t>
  </si>
  <si>
    <t>J724</t>
  </si>
  <si>
    <t>Trent 1000-H3</t>
  </si>
  <si>
    <t>19RR090</t>
  </si>
  <si>
    <t>J725</t>
  </si>
  <si>
    <t>Trent 1000-J3</t>
  </si>
  <si>
    <t>19RR091</t>
  </si>
  <si>
    <t>J726</t>
  </si>
  <si>
    <t>Trent 1000-K3</t>
  </si>
  <si>
    <t>19RR092</t>
  </si>
  <si>
    <t>J727</t>
  </si>
  <si>
    <t>Trent 1000-L3</t>
  </si>
  <si>
    <t>19RR093</t>
  </si>
  <si>
    <t>J728</t>
  </si>
  <si>
    <t>Trent 1000-M3</t>
  </si>
  <si>
    <t>19RR094</t>
  </si>
  <si>
    <t>J729</t>
  </si>
  <si>
    <t>Trent 1000-N3</t>
  </si>
  <si>
    <t>19RR095</t>
  </si>
  <si>
    <t>J730</t>
  </si>
  <si>
    <t>Trent 1000-P3</t>
  </si>
  <si>
    <t>19RR096</t>
  </si>
  <si>
    <t>J731</t>
  </si>
  <si>
    <t>Trent 1000-Q3</t>
  </si>
  <si>
    <t>19RR097</t>
  </si>
  <si>
    <t>J732</t>
  </si>
  <si>
    <t>Trent 1000-R3</t>
  </si>
  <si>
    <t>19RR098</t>
  </si>
  <si>
    <t>J735</t>
  </si>
  <si>
    <t>Trent 7000-72</t>
  </si>
  <si>
    <t>Trent 7000-72C</t>
  </si>
  <si>
    <t>Combustor 194-03-800</t>
  </si>
  <si>
    <t>Combustor 93-03-800</t>
  </si>
  <si>
    <t>HC taxi estimated, Calvert SN calculation</t>
  </si>
  <si>
    <t>HC Taxi from J791, Calvert SN calculation</t>
  </si>
  <si>
    <t>for Gulfstream G550, annular comb.</t>
  </si>
  <si>
    <t>Concorde Engine, Calvert SN calculation</t>
  </si>
  <si>
    <t>AS907 pre 2011 combustor</t>
  </si>
  <si>
    <t>out of production since 2011</t>
  </si>
  <si>
    <t>O-320-...</t>
  </si>
  <si>
    <t>Replaced by PF08</t>
  </si>
  <si>
    <t>Replaced by PF03</t>
  </si>
  <si>
    <t>E4-B, AE330</t>
  </si>
  <si>
    <t>Data from PT6A-27, PM FOCA FOA Turboshaft</t>
  </si>
  <si>
    <t>PM FOCA FOA Turboshaft</t>
  </si>
  <si>
    <t>FOI idle, PM T717</t>
  </si>
  <si>
    <t>501 D22A</t>
  </si>
  <si>
    <t>501 D22</t>
  </si>
  <si>
    <t>SN estimated, PM FOCA FOA Turboshaft</t>
  </si>
  <si>
    <t>PM Corporan et al 2008</t>
  </si>
  <si>
    <t>FOI idle, PM FOCA FOA Turboshaft</t>
  </si>
  <si>
    <t>PM FOCA from T717</t>
  </si>
  <si>
    <t>PM FOCA/DLR</t>
  </si>
  <si>
    <t>PT6A-50
PT6A-50</t>
  </si>
  <si>
    <t>7% idle, PM FOCA FOA Turboshaft</t>
  </si>
  <si>
    <t>Basis T763, PM FOCA FOA Turboshaft</t>
  </si>
  <si>
    <t>kg/kg Jet-A1</t>
  </si>
  <si>
    <t>kg/kg AVGAS</t>
  </si>
  <si>
    <t>Fuel CO2</t>
  </si>
  <si>
    <t>non-volatile Particle Mass (number)</t>
  </si>
  <si>
    <t>Select LTO:</t>
  </si>
  <si>
    <t>CL</t>
  </si>
  <si>
    <t>TAXI</t>
  </si>
  <si>
    <t>APP</t>
  </si>
  <si>
    <t>Piston-Heli</t>
  </si>
  <si>
    <t>TFE331-20</t>
  </si>
  <si>
    <t>nvPM 
[#/min_ID]</t>
  </si>
  <si>
    <t>FB 
[kg/LTO-]</t>
  </si>
  <si>
    <t>NOx 
[kg/LTO-]</t>
  </si>
  <si>
    <t>HC 
[kg/LTO-]</t>
  </si>
  <si>
    <t>CO 
[kg/LTO-]</t>
  </si>
  <si>
    <t>nvPN 
[#/LTO]</t>
  </si>
  <si>
    <t>Fuel 
(kg/LTO*)</t>
  </si>
  <si>
    <t>NOx 
(kg/ LTO*)</t>
  </si>
  <si>
    <t>HC 
(kg/ LTO*)</t>
  </si>
  <si>
    <t>CO 
(kg/ LTO*)</t>
  </si>
  <si>
    <t>PM 
(kg/ LTO*)</t>
  </si>
  <si>
    <t>nvPN 
(#/LTO*)</t>
  </si>
  <si>
    <t>SOx 
(kg/ LTO*)</t>
  </si>
  <si>
    <r>
      <t>CO</t>
    </r>
    <r>
      <rPr>
        <b/>
        <vertAlign val="subscript"/>
        <sz val="10"/>
        <color theme="1"/>
        <rFont val="Arial"/>
        <family val="2"/>
      </rPr>
      <t>2</t>
    </r>
    <r>
      <rPr>
        <b/>
        <sz val="10"/>
        <color theme="1"/>
        <rFont val="Arial"/>
        <family val="2"/>
      </rPr>
      <t xml:space="preserve"> 
(kg/ LTO*)</t>
    </r>
  </si>
  <si>
    <t>Fuel 
(g/min taxi)</t>
  </si>
  <si>
    <t>NOx 
(g/min taxi)</t>
  </si>
  <si>
    <t>HC 
(g/min taxi)</t>
  </si>
  <si>
    <t>CO 
(g/min taxi)</t>
  </si>
  <si>
    <t>PM 
(g/min taxi)</t>
  </si>
  <si>
    <t>nvPN 
(#/min taxi)</t>
  </si>
  <si>
    <t>SOx 
(g/min taxi)</t>
  </si>
  <si>
    <t>CO2 
(g/min taxi)</t>
  </si>
  <si>
    <t>FB 
[g/min_ID]</t>
  </si>
  <si>
    <t>NOx 
[g/min_ID]</t>
  </si>
  <si>
    <t>HC 
[g/min_ID]</t>
  </si>
  <si>
    <t>CO 
[g/min_ID]</t>
  </si>
  <si>
    <t>TO/MES 
[min]</t>
  </si>
  <si>
    <t>CL/ECS 
[min]</t>
  </si>
  <si>
    <t>AP/NL 
[min]</t>
  </si>
  <si>
    <t>TAXI 
[min]</t>
  </si>
  <si>
    <t>[g/kg F]</t>
  </si>
  <si>
    <t>[#/kg  F]</t>
  </si>
  <si>
    <t>[kg/s]</t>
  </si>
  <si>
    <t>1. Detailed Aircraft Movements</t>
  </si>
  <si>
    <t>Data Key for Engines_all</t>
  </si>
  <si>
    <r>
      <t>Country capita CO</t>
    </r>
    <r>
      <rPr>
        <vertAlign val="subscript"/>
        <sz val="10"/>
        <color theme="1"/>
        <rFont val="Arial"/>
        <family val="2"/>
      </rPr>
      <t xml:space="preserve">2 </t>
    </r>
    <r>
      <rPr>
        <sz val="10"/>
        <color theme="1"/>
        <rFont val="Arial"/>
        <family val="2"/>
      </rPr>
      <t>equivalent</t>
    </r>
  </si>
  <si>
    <t>Sustainable Fuel percentage is applied to aircraft main engines, APU and aircraft maintenance (only Jet-A1).</t>
  </si>
  <si>
    <t>Emission factors are derived from available information from airports and subsequently used in LASPORT 2.3.</t>
  </si>
  <si>
    <t>Airbus 318*</t>
  </si>
  <si>
    <t>A220-100/BCS 100*</t>
  </si>
  <si>
    <t>A220-300/BCS 300*</t>
  </si>
  <si>
    <t>Gulfstream IV*</t>
  </si>
  <si>
    <t>Tay 611-8C</t>
  </si>
  <si>
    <t>Gulfstream VI*</t>
  </si>
  <si>
    <t>BR-700-725A1-12</t>
  </si>
  <si>
    <t>Gulfstream VII-500*</t>
  </si>
  <si>
    <t>RRJ95-LR</t>
  </si>
  <si>
    <t>Option 3 uses an aircraft group approach with total emissions per aircraft group; The factors are derived from ZRH (see www.zurich-airport.com) through a bottom-up model approach.</t>
  </si>
  <si>
    <t>Enter the annual aircraft movements (2 movements = 1 LTO-cycle); if the specific aircraft type is missing, select a similar one or choose an aircraft group.</t>
  </si>
  <si>
    <t>Enter %age of SAF used. Enter the emission change as %age to the baseline (fossil Jet-A1=100%); &lt;100% means less emissions, 100% means the same emissions and &gt;100% means more emissions in relation to the standard fuel (e.g. for 15% less HC emissions compared to Jet-A1, enter 85%).</t>
  </si>
  <si>
    <r>
      <t>Enter number and duration of engine run-ups for each aircraft Code group. The "thrust"-corrections accounts for the fact that not the whole run-up is done at idle power, but sometimes up to full power. The factor can be modified as deemed necessary (</t>
    </r>
    <r>
      <rPr>
        <sz val="10"/>
        <color theme="1"/>
        <rFont val="Symbol"/>
        <family val="1"/>
        <charset val="2"/>
      </rPr>
      <t>³</t>
    </r>
    <r>
      <rPr>
        <sz val="9"/>
        <color theme="1"/>
        <rFont val="Arial"/>
        <family val="2"/>
      </rPr>
      <t>1)</t>
    </r>
    <r>
      <rPr>
        <sz val="10"/>
        <color theme="1"/>
        <rFont val="Arial"/>
        <family val="2"/>
      </rPr>
      <t>.</t>
    </r>
  </si>
  <si>
    <t>Businessjets</t>
  </si>
  <si>
    <t>tPM 
[kg/LTO-]</t>
  </si>
  <si>
    <t>tPM 
[g/min_ID]</t>
  </si>
  <si>
    <t>11GE140</t>
  </si>
  <si>
    <t>J001</t>
  </si>
  <si>
    <t>CF34-10A16</t>
  </si>
  <si>
    <t>11GE141</t>
  </si>
  <si>
    <t>J002</t>
  </si>
  <si>
    <t>CF34-10A18</t>
  </si>
  <si>
    <t>11GE142</t>
  </si>
  <si>
    <t>J003</t>
  </si>
  <si>
    <t>CF34-10E5 (2009)</t>
  </si>
  <si>
    <t>11GE143</t>
  </si>
  <si>
    <t>J004</t>
  </si>
  <si>
    <t>CF34-10E6 (2009)</t>
  </si>
  <si>
    <t>Same emissions performance as 11GE142</t>
  </si>
  <si>
    <t>11GE144</t>
  </si>
  <si>
    <t>J007</t>
  </si>
  <si>
    <t>CF34-10E5A1 (2009)</t>
  </si>
  <si>
    <t>11GE145</t>
  </si>
  <si>
    <t>J008</t>
  </si>
  <si>
    <t>CF34-10E6A1 (2009)</t>
  </si>
  <si>
    <t>Same emissions performance as 11GE144</t>
  </si>
  <si>
    <t>11GE146</t>
  </si>
  <si>
    <t>J009</t>
  </si>
  <si>
    <t>CF34-10E7 (2009)</t>
  </si>
  <si>
    <t>11GE147</t>
  </si>
  <si>
    <t>CF34-10E7-B</t>
  </si>
  <si>
    <t>The following group/aircraft definitions have been used: Large=B777; Medium=A330; Small=A320; Regional=CRJ900; Turpoprop=PA46. Thrust setting is taken as "idle", but a factor is applied as engine run-ups are often performed at more then idle thrust. The same engine is used as listed in the detailed aircraft table. Potential SAF is considered.</t>
  </si>
  <si>
    <t>m3</t>
  </si>
  <si>
    <t>metric tons</t>
  </si>
  <si>
    <r>
      <t>(1,000 litres = 1m</t>
    </r>
    <r>
      <rPr>
        <vertAlign val="superscript"/>
        <sz val="10"/>
        <color theme="1"/>
        <rFont val="Arial"/>
        <family val="2"/>
      </rPr>
      <t>3</t>
    </r>
    <r>
      <rPr>
        <sz val="10"/>
        <color theme="1"/>
        <rFont val="Arial"/>
        <family val="2"/>
      </rPr>
      <t>)</t>
    </r>
  </si>
  <si>
    <t>Enter your name:</t>
  </si>
  <si>
    <t>% nvPM (number)</t>
  </si>
  <si>
    <t>October</t>
  </si>
  <si>
    <t>November</t>
  </si>
  <si>
    <t>December</t>
  </si>
  <si>
    <t>January</t>
  </si>
  <si>
    <t>February</t>
  </si>
  <si>
    <t xml:space="preserve">March </t>
  </si>
  <si>
    <t xml:space="preserve">April </t>
  </si>
  <si>
    <t>May</t>
  </si>
  <si>
    <t>September</t>
  </si>
  <si>
    <t>(without Piston and Helicopters)</t>
  </si>
  <si>
    <t>from Input</t>
  </si>
  <si>
    <t>Percentage of de-icings for each month:</t>
  </si>
  <si>
    <t xml:space="preserve">Your number of monthly departures is: </t>
  </si>
  <si>
    <t>Aircraft Main Engine Startup</t>
  </si>
  <si>
    <t>GSE &amp; Handling</t>
  </si>
  <si>
    <t>Aircraft Engine Run-Ups</t>
  </si>
  <si>
    <r>
      <t>Total CO</t>
    </r>
    <r>
      <rPr>
        <vertAlign val="subscript"/>
        <sz val="10"/>
        <color theme="1"/>
        <rFont val="Arial"/>
        <family val="2"/>
      </rPr>
      <t>2</t>
    </r>
  </si>
  <si>
    <t>Total nvPM (number)</t>
  </si>
  <si>
    <t>Total PM (mass)</t>
  </si>
  <si>
    <t>Total HC</t>
  </si>
  <si>
    <t>4. NOx-Emissions</t>
  </si>
  <si>
    <t>5. HC-Emissions</t>
  </si>
  <si>
    <t>6. CO-Emissions</t>
  </si>
  <si>
    <t>7. SOx-Emissions</t>
  </si>
  <si>
    <t>8. PM (mass) Emissions</t>
  </si>
  <si>
    <t>9. nvPM (number) Emissions</t>
  </si>
  <si>
    <r>
      <t>10. CO</t>
    </r>
    <r>
      <rPr>
        <b/>
        <vertAlign val="subscript"/>
        <sz val="10"/>
        <color theme="0"/>
        <rFont val="Arial"/>
        <family val="2"/>
      </rPr>
      <t>2</t>
    </r>
    <r>
      <rPr>
        <b/>
        <sz val="10"/>
        <color theme="0"/>
        <rFont val="Arial"/>
        <family val="2"/>
      </rPr>
      <t>-Emissions</t>
    </r>
  </si>
  <si>
    <r>
      <t>Total CO</t>
    </r>
    <r>
      <rPr>
        <b/>
        <vertAlign val="subscript"/>
        <sz val="10"/>
        <color theme="1"/>
        <rFont val="Arial"/>
        <family val="2"/>
      </rPr>
      <t>2</t>
    </r>
  </si>
  <si>
    <t>Enter the percantage of de-icings per month on the total departures.</t>
  </si>
  <si>
    <r>
      <t>Total CO</t>
    </r>
    <r>
      <rPr>
        <vertAlign val="subscript"/>
        <sz val="10"/>
        <color theme="1"/>
        <rFont val="Arial"/>
        <family val="2"/>
      </rPr>
      <t>2</t>
    </r>
    <r>
      <rPr>
        <sz val="10"/>
        <color theme="1"/>
        <rFont val="Arial"/>
        <family val="2"/>
      </rPr>
      <t xml:space="preserve"> per Traffic Unit</t>
    </r>
  </si>
  <si>
    <r>
      <t>Total CO</t>
    </r>
    <r>
      <rPr>
        <vertAlign val="subscript"/>
        <sz val="10"/>
        <color theme="1"/>
        <rFont val="Arial"/>
        <family val="2"/>
      </rPr>
      <t>2</t>
    </r>
    <r>
      <rPr>
        <sz val="10"/>
        <color theme="1"/>
        <rFont val="Arial"/>
        <family val="2"/>
      </rPr>
      <t xml:space="preserve"> per Passenger</t>
    </r>
  </si>
  <si>
    <t># Events</t>
  </si>
  <si>
    <t>g/min</t>
  </si>
  <si>
    <r>
      <t>Emissions include de-icing vehicle engine emissions plus the VOC and CO</t>
    </r>
    <r>
      <rPr>
        <vertAlign val="subscript"/>
        <sz val="10"/>
        <color theme="1"/>
        <rFont val="Arial"/>
        <family val="2"/>
      </rPr>
      <t>2</t>
    </r>
    <r>
      <rPr>
        <sz val="10"/>
        <color theme="1"/>
        <rFont val="Arial"/>
        <family val="2"/>
      </rPr>
      <t xml:space="preserve"> emissions from aircraft deicing fluid applied to the aircraft, using a 3-year average dataset from ZRH. Also includes extra engine idle of aircraft. The emissions are aircraft group dependent. </t>
    </r>
  </si>
  <si>
    <t>Movements (used for aircraft)</t>
  </si>
  <si>
    <t>Kerosene for aircraft. [CO2-factor: 3.16 kg/kg fuel]</t>
  </si>
  <si>
    <t>Ground Support (or Service) Equipment</t>
  </si>
  <si>
    <t>Sources overview:</t>
  </si>
  <si>
    <t>Average Taxi-out Time</t>
  </si>
  <si>
    <t>Large 4-engine</t>
  </si>
  <si>
    <t>Large 2-engine</t>
  </si>
  <si>
    <t>Total APU-relevant Movements</t>
  </si>
  <si>
    <t>Percentage (%) of Total</t>
  </si>
  <si>
    <t>Aircraft/APU Groups</t>
  </si>
  <si>
    <t>/Group</t>
  </si>
  <si>
    <t>APU - MES</t>
  </si>
  <si>
    <t>APU - ECS</t>
  </si>
  <si>
    <t>APU - NL</t>
  </si>
  <si>
    <t>Data Source: ICAO Doc 9889 (2019)</t>
  </si>
  <si>
    <t>Aircraft APU Emissions (MES+ECS+NL)</t>
  </si>
  <si>
    <t>Total h</t>
  </si>
  <si>
    <t>h/LTO</t>
  </si>
  <si>
    <t>ALECA Calculations Aircraft &amp; APU</t>
  </si>
  <si>
    <t>Aircraft Definitions and Calculations</t>
  </si>
  <si>
    <t>APU Definitions and Calculations</t>
  </si>
  <si>
    <t>Specific Aircraft Performance</t>
  </si>
  <si>
    <t>TU/mvmt</t>
  </si>
  <si>
    <t>Total APU Operating Hours</t>
  </si>
  <si>
    <t>h APU/a</t>
  </si>
  <si>
    <t>Multiplier for 300m/GND</t>
  </si>
  <si>
    <t>Local Perimeter (up to 1,000 ft)</t>
  </si>
  <si>
    <t>kg/a &amp; #/a</t>
  </si>
  <si>
    <t>Number of annual de-icings</t>
  </si>
  <si>
    <t>De-icings/a</t>
  </si>
  <si>
    <t>Your number of annual de-icings is:</t>
  </si>
  <si>
    <t>YES-NO</t>
  </si>
  <si>
    <t>Yes</t>
  </si>
  <si>
    <t>No</t>
  </si>
  <si>
    <t>Is aircraft engine idle time during de-icing included in taxi-out above?</t>
  </si>
  <si>
    <t>nvPN (#/a)</t>
  </si>
  <si>
    <t>#/kg</t>
  </si>
  <si>
    <t>End of all Calculations</t>
  </si>
  <si>
    <t>HC 
(kg)</t>
  </si>
  <si>
    <t>Converted</t>
  </si>
  <si>
    <t xml:space="preserve">kg </t>
  </si>
  <si>
    <t>Faktoren ZRH</t>
  </si>
  <si>
    <t>kg/h, g/kg, #/kg</t>
  </si>
  <si>
    <t>g/kg</t>
  </si>
  <si>
    <t>Resultat ZRH</t>
  </si>
  <si>
    <t>kg/a, #/a</t>
  </si>
  <si>
    <t>Start-up</t>
  </si>
  <si>
    <t>HC (g/start&amp;Tw)</t>
  </si>
  <si>
    <t>Thrust (kN&amp;TW)</t>
  </si>
  <si>
    <t>Start HC (g)</t>
  </si>
  <si>
    <t>Source: from ICAO/BAZL-Engine List; start-up emissions from Doc 9889</t>
  </si>
  <si>
    <t>Source: ZRH, HC-Emission inventory</t>
  </si>
  <si>
    <t>Source: ZRH, October 2018; takes engine factors from maintenance A/C-engines (Biz=Regional)</t>
  </si>
  <si>
    <t>Source: ZRH, for LASPORT 2.3, Novemberr 2018; includes De-icing GSE and Fluid Application</t>
  </si>
  <si>
    <t>Source: ZRH, for LASPORT 2.3, November 2018 (Caution: ZRH own factors are different)</t>
  </si>
  <si>
    <t>Source: general internet research</t>
  </si>
  <si>
    <t>Name:</t>
  </si>
  <si>
    <t>LTO-Perimeter:</t>
  </si>
  <si>
    <t>Diesel (or ops hours) per year</t>
  </si>
  <si>
    <t>Total Idle-Time</t>
  </si>
  <si>
    <t>min/a</t>
  </si>
  <si>
    <t>Crosscheck: declared movements</t>
  </si>
  <si>
    <t>De-icing time on total taxi-time:</t>
  </si>
  <si>
    <t>Total Taxi (min/a)</t>
  </si>
  <si>
    <t>min/LTO</t>
  </si>
  <si>
    <t>Additional taxi/idle for de-icing</t>
  </si>
  <si>
    <t xml:space="preserve">min/a </t>
  </si>
  <si>
    <t>Fleet average taxi-time (incl. de-icing)</t>
  </si>
  <si>
    <t>Aircraft average taxitime (in+out, de-icing)</t>
  </si>
  <si>
    <t>For helicopters, the Swiss FOCA 2015 Guidance has been applied.</t>
  </si>
  <si>
    <t>Results by Groups</t>
  </si>
  <si>
    <t>Source helicopter: BAZL, 2015; others: Doc 9889</t>
  </si>
  <si>
    <t>NVPN</t>
  </si>
  <si>
    <t>Select Calculation Mode:</t>
  </si>
  <si>
    <t>Calculation</t>
  </si>
  <si>
    <t>Total, uncorrected for SAF or performance</t>
  </si>
  <si>
    <t>EI Factor to change from Certification to Performance Based Calculations (jets only)</t>
  </si>
  <si>
    <t>Performance-based</t>
  </si>
  <si>
    <t>Certification-based</t>
  </si>
  <si>
    <t xml:space="preserve">Aircraft Emissions (LTO): </t>
  </si>
  <si>
    <t>Calculation Mode Consideration</t>
  </si>
  <si>
    <t>LTO Perimeter Consideration (by TIM)</t>
  </si>
  <si>
    <t>The ICAO Certification LTO-cycle is calculated for jets with engines &gt;26.7 kN thrust. Calculations can also made performance based.</t>
  </si>
  <si>
    <t>Aircraft</t>
  </si>
  <si>
    <t>Aircraft Brakes &amp;Tires</t>
  </si>
  <si>
    <t>Aircraft brake and tire emissions (particulate matter) are calculated using Zurich Airport defaults.</t>
  </si>
  <si>
    <t>All aircraft movements are grouped into groups as being used in LASPORT (for handling, brakes and de-icing emissions estimation).</t>
  </si>
  <si>
    <t>Aircraft Brake and Tires</t>
  </si>
  <si>
    <t># Landings</t>
  </si>
  <si>
    <t>Sort Aid for AC Groups</t>
  </si>
  <si>
    <t>Airbus 340-600*</t>
  </si>
  <si>
    <t>Boeing 747-8*</t>
  </si>
  <si>
    <t>GE9-X-8</t>
  </si>
  <si>
    <t>Airbus 380-800*</t>
  </si>
  <si>
    <t>Boeing 737-700*</t>
  </si>
  <si>
    <t>CL65*</t>
  </si>
  <si>
    <t>A109</t>
  </si>
  <si>
    <t>B06</t>
  </si>
  <si>
    <t>Airbus 330-200*</t>
  </si>
  <si>
    <t>Airbus 330-300*</t>
  </si>
  <si>
    <t>Boeing 737-800*</t>
  </si>
  <si>
    <t>PW1125G-JM</t>
  </si>
  <si>
    <t>J263</t>
  </si>
  <si>
    <t>GE9X</t>
  </si>
  <si>
    <t>GE9X8</t>
  </si>
  <si>
    <t>IATA for HKIA, nachgerechnet BAZL, 3.12.2018</t>
  </si>
  <si>
    <t>Boeing 737-900*</t>
  </si>
  <si>
    <t>Genx-2B67B</t>
  </si>
  <si>
    <t>TRENT 772</t>
  </si>
  <si>
    <t>Boeing 787-1000*</t>
  </si>
  <si>
    <t>Boeing 777-300*</t>
  </si>
  <si>
    <t>Boeing 777-200*</t>
  </si>
  <si>
    <t>Boeing 777-300ER*</t>
  </si>
  <si>
    <t>Boeing 737-500*</t>
  </si>
  <si>
    <t>Boeing 737-400*</t>
  </si>
  <si>
    <t>C17 Globemaster</t>
  </si>
  <si>
    <t>An-124*</t>
  </si>
  <si>
    <t>D18T</t>
  </si>
  <si>
    <t>A119</t>
  </si>
  <si>
    <t>Airbus 300*</t>
  </si>
  <si>
    <t>Airbus 310*</t>
  </si>
  <si>
    <t>Large (Code E/F)</t>
  </si>
  <si>
    <t># movements</t>
  </si>
  <si>
    <t>% engine 1</t>
  </si>
  <si>
    <t>% engine 2</t>
  </si>
  <si>
    <t>% engine 3</t>
  </si>
  <si>
    <t>Medium (Code D/E)</t>
  </si>
  <si>
    <t>Small (Code C/D)</t>
  </si>
  <si>
    <t>"Medium"
(Code D/E)</t>
  </si>
  <si>
    <t>"Small"
(Code C/D)</t>
  </si>
  <si>
    <t>(enter the number of movements per aircraft type and the percentage of engine use; if the aircraft type is missing, select a similar one, if engine use is missing, take an even split)</t>
  </si>
  <si>
    <t>Calculation Mode:</t>
  </si>
  <si>
    <t>Boeing 777-8/-9*</t>
  </si>
  <si>
    <t>Boeing 757*</t>
  </si>
  <si>
    <t>Enter the engine use split (in %); if unknown or not relevant, you may use an even split (or enter 100% if only one engine is designated).</t>
  </si>
  <si>
    <t>Caution: The aircraft Code (C-F) may not necessarily match the offical ICAO/IATA/FAA Codes; this information is only used for group average emission factors for other sources.</t>
  </si>
  <si>
    <t>(no engine choice)</t>
  </si>
  <si>
    <t>All Other Aircraft</t>
  </si>
  <si>
    <t>Boeing 737-600*</t>
  </si>
  <si>
    <t>Airbus 340-200/300*</t>
  </si>
  <si>
    <t>Airbus 350-900/1000*</t>
  </si>
  <si>
    <r>
      <t>ALECA is a stand-alone emission calculation tool for all aircraft related emission sources at an airport, covering the substances NOx, HC, CO, PM (mass), nvPM (number), SOx and CO</t>
    </r>
    <r>
      <rPr>
        <sz val="8"/>
        <color theme="1"/>
        <rFont val="Arial"/>
        <family val="2"/>
      </rPr>
      <t>2</t>
    </r>
    <r>
      <rPr>
        <sz val="10"/>
        <color theme="1"/>
        <rFont val="Arial"/>
        <family val="2"/>
      </rPr>
      <t>.</t>
    </r>
  </si>
  <si>
    <t>VE/Bew.</t>
  </si>
  <si>
    <t>VE</t>
  </si>
  <si>
    <t>kg-#/ac</t>
  </si>
  <si>
    <t>Source: ICAO Doc 9889, Edition 2019 (shaded cells only)</t>
  </si>
  <si>
    <t>Fuel Amount</t>
  </si>
  <si>
    <t>kg - #/a</t>
  </si>
  <si>
    <t>Technology</t>
  </si>
  <si>
    <t>Narrow-body</t>
  </si>
  <si>
    <t>Wide-body</t>
  </si>
  <si>
    <t>1990-2005</t>
  </si>
  <si>
    <t>2000-2015</t>
  </si>
  <si>
    <r>
      <t>NO</t>
    </r>
    <r>
      <rPr>
        <b/>
        <vertAlign val="subscript"/>
        <sz val="10"/>
        <color theme="1"/>
        <rFont val="Arial"/>
        <family val="2"/>
      </rPr>
      <t>x</t>
    </r>
  </si>
  <si>
    <r>
      <t>PM</t>
    </r>
    <r>
      <rPr>
        <b/>
        <vertAlign val="subscript"/>
        <sz val="10"/>
        <color theme="1"/>
        <rFont val="Arial"/>
        <family val="2"/>
      </rPr>
      <t>10</t>
    </r>
  </si>
  <si>
    <r>
      <t>CO</t>
    </r>
    <r>
      <rPr>
        <b/>
        <vertAlign val="subscript"/>
        <sz val="10"/>
        <color theme="1"/>
        <rFont val="Arial"/>
        <family val="2"/>
      </rPr>
      <t>2</t>
    </r>
  </si>
  <si>
    <t>ALECA Calculations: Aircraft related activities</t>
  </si>
  <si>
    <t>PN: using 2000-2015 EI for 1990-2005 technology</t>
  </si>
  <si>
    <t>Source: ZRH and EEA/Internet for ICAO Doc 9889, Nov 2018</t>
  </si>
  <si>
    <t>Bottom-Up Plausibility:</t>
  </si>
  <si>
    <t>Benefits of SAF Usage (APU)</t>
  </si>
  <si>
    <t>Benefits of SAF Usage (LTO)</t>
  </si>
  <si>
    <t>11. Benefits of Sustainable Aviation Fuel Usage</t>
  </si>
  <si>
    <t>Amount of SAF used</t>
  </si>
  <si>
    <t>NOx benefits</t>
  </si>
  <si>
    <t>HC benefits</t>
  </si>
  <si>
    <t>CO benefits</t>
  </si>
  <si>
    <t>nvPM (number) benefits</t>
  </si>
  <si>
    <t>nvPM (mass) benefits</t>
  </si>
  <si>
    <r>
      <t>CO</t>
    </r>
    <r>
      <rPr>
        <vertAlign val="subscript"/>
        <sz val="10"/>
        <color theme="1"/>
        <rFont val="Arial"/>
        <family val="2"/>
      </rPr>
      <t>2</t>
    </r>
    <r>
      <rPr>
        <sz val="10"/>
        <color theme="1"/>
        <rFont val="Arial"/>
        <family val="2"/>
      </rPr>
      <t xml:space="preserve"> benefits</t>
    </r>
  </si>
  <si>
    <t>SAF benefits</t>
  </si>
  <si>
    <t>t - #/a</t>
  </si>
  <si>
    <t>SOx benefits</t>
  </si>
  <si>
    <t>Traffic Units:</t>
  </si>
  <si>
    <t>Source: LASPORT 2.3, November 2018</t>
  </si>
  <si>
    <t>Boeing 767-200/300*</t>
  </si>
  <si>
    <t>Boeing 767-400*</t>
  </si>
  <si>
    <t>Boeing 787-8/-1000*</t>
  </si>
  <si>
    <t>Source: EEA/EMEP, Guidebook, 2016, 1.A.4, Non road mobile machinery, Table 3-6, 3-8 (shaded cells only)</t>
  </si>
  <si>
    <t>Local Air Quality Benefits</t>
  </si>
  <si>
    <t>Global Climate Benefits</t>
  </si>
  <si>
    <t>LTO-Fuel (t)</t>
  </si>
  <si>
    <t>Option 3 is recommended</t>
  </si>
  <si>
    <r>
      <t xml:space="preserve">Aircraft type
</t>
    </r>
    <r>
      <rPr>
        <b/>
        <i/>
        <sz val="10"/>
        <color theme="1"/>
        <rFont val="Arial"/>
        <family val="2"/>
      </rPr>
      <t>Blue: option for multiple ac/engines</t>
    </r>
  </si>
  <si>
    <t>Fuel Forecast</t>
  </si>
  <si>
    <t>Bew/a</t>
  </si>
  <si>
    <t>t Jet-A1</t>
  </si>
  <si>
    <t>t AVGAS</t>
  </si>
  <si>
    <t>kg Tankvol.</t>
  </si>
  <si>
    <t>Source: Fraport, Juli 2018 (B. Schreiber, für LASPORT)</t>
  </si>
  <si>
    <t>converted kg</t>
  </si>
  <si>
    <t>kg used</t>
  </si>
  <si>
    <t>Enter amount and select unit for aircraft fuel. If you leave it empty, a bottom-up aircraft group-dependent average total is calculated (Source: Fraport, 2018)</t>
  </si>
  <si>
    <t>Scenario name (optional):</t>
  </si>
  <si>
    <t>Scenario name:</t>
  </si>
  <si>
    <t>(if you leave this empty, a bottom-up aircraft-group dependent average default total will be calculated)</t>
  </si>
  <si>
    <t>(Default = 2.0)</t>
  </si>
  <si>
    <t xml:space="preserve">"Thrust"-correction
</t>
  </si>
  <si>
    <t>own factors</t>
  </si>
  <si>
    <t>Sustainable Aviation Fuel for APU</t>
  </si>
  <si>
    <t>Sustainable Aviation Fuel Consideration Main Engines</t>
  </si>
  <si>
    <t>t Fuel/Bew.</t>
  </si>
  <si>
    <t>SAF-Benefits global</t>
  </si>
  <si>
    <t>The emission factors are derived from industry information.</t>
  </si>
  <si>
    <t>It is designed to allow for time series by e.g. completing a study every year and copy the results into a separate application; however, the emission factors remain static. It is also suited for scenario calculations with changes in fleet mix, movements, fuel, etc.</t>
  </si>
  <si>
    <t>ALECA does not contain any stationary sources (generators, boilers, construction, etc) or any road vehicle emissions (airside or landside). It does not provide any temporal or spatial discrimination of the emissions.</t>
  </si>
  <si>
    <r>
      <rPr>
        <b/>
        <u/>
        <sz val="36"/>
        <color rgb="FF005EA4"/>
        <rFont val="Arial"/>
        <family val="2"/>
      </rPr>
      <t>ALECA</t>
    </r>
    <r>
      <rPr>
        <b/>
        <sz val="22"/>
        <color rgb="FF005EA4"/>
        <rFont val="Arial"/>
        <family val="2"/>
      </rPr>
      <t xml:space="preserve">
</t>
    </r>
    <r>
      <rPr>
        <b/>
        <sz val="20"/>
        <color rgb="FF005EA4"/>
        <rFont val="Arial"/>
        <family val="2"/>
      </rPr>
      <t>Aircraft Local Emissions Calculator for Airports</t>
    </r>
  </si>
  <si>
    <t>kg CO2</t>
  </si>
  <si>
    <t>Taxi</t>
  </si>
  <si>
    <t>Variable</t>
  </si>
  <si>
    <t>Calculation Specifications</t>
  </si>
  <si>
    <t>Aircraft/Engine Movements</t>
  </si>
  <si>
    <t>Taxi Time (min/LTO)</t>
  </si>
  <si>
    <t>(all in min)</t>
  </si>
  <si>
    <t>TO</t>
  </si>
  <si>
    <t>(variable)</t>
  </si>
  <si>
    <t xml:space="preserve">Select Taxi-time Mode: </t>
  </si>
  <si>
    <t xml:space="preserve">For "Variable", enter the taxi-times for taxi in and out separately for each aircraft group in full or fraction minutes; for aircraft Code assignment, check the internet if needed. </t>
  </si>
  <si>
    <t>Local (1000ft)</t>
  </si>
  <si>
    <t>ICAO (3000ft)</t>
  </si>
  <si>
    <t>Standard</t>
  </si>
  <si>
    <t>Select the LTO-type for the aircraft emissions: ICAO = ICAO certification-LTO-cycle (3,000ft), but still variable taxi-times. Local = LTO perimeter where emissions actually have a direct impact on ground level concentrations, i.e. up to 300 m/gnd (or 1,000 ft above ground).</t>
  </si>
  <si>
    <t>Select either "Standard" (26 min for Jets/Business, 20 min für Turboprop/Piston and 5 min for Helicopter) or "Variable";</t>
  </si>
  <si>
    <t>The APU operation for starting the main engines is already fully covered and doesn't need to be considered again.</t>
  </si>
  <si>
    <t>For Option 3, "3. Aircraft Group", no additional information is needed. This is the recommended option.</t>
  </si>
  <si>
    <t>(Standard)</t>
  </si>
  <si>
    <t>ICAO Certification (up to 3,000 ft)</t>
  </si>
  <si>
    <t>All Jets &gt;26.7kN</t>
  </si>
  <si>
    <t>Jet-A1 only (kg)</t>
  </si>
  <si>
    <t>Taxi-times:</t>
  </si>
  <si>
    <t>2. Operational and Environmental KPI</t>
  </si>
  <si>
    <t>3. Emissions Summary</t>
  </si>
  <si>
    <t>Percentage of "on-stand"-deicing:</t>
  </si>
  <si>
    <t>Source: ZRH, October 2018</t>
  </si>
  <si>
    <t>Total extra APU-time</t>
  </si>
  <si>
    <t>Enter the percentage of deicings per aircraft group that are de-iced on the stand rather than on a central de-icing pad (assuming that the APU is operated during on-stand deicing).</t>
  </si>
  <si>
    <t>Fuel SOx</t>
  </si>
  <si>
    <t>De-icing (GSE/fluid)</t>
  </si>
  <si>
    <t>Extra APU ECS (on stand)</t>
  </si>
  <si>
    <t>Extra A/C Idle (on DIP)</t>
  </si>
  <si>
    <t>Default (min)</t>
  </si>
  <si>
    <t># Event</t>
  </si>
  <si>
    <t>Aviation Gasoline for aircraft [CO2-factor: 3.05 kg/kg fuel]</t>
  </si>
  <si>
    <t>1. Definitions.</t>
  </si>
  <si>
    <t>“Effective Date” is the date Licensee obtained, installed, copied or otherwise used the Software.</t>
  </si>
  <si>
    <t>"Documentation" shall mean all printed, typewritten, electronic or other material supplied with the Software that is not capable of being interpreted or executed, or of being assembled or compiled and executed, by a computer processor, including without limitation, installation and use instructions, tutorials, application examples, training material.</t>
  </si>
  <si>
    <t>2. License Grant.</t>
  </si>
  <si>
    <t>3. License Restrictions.</t>
  </si>
  <si>
    <t>Licensee may Not</t>
  </si>
  <si>
    <t>(i) sell, lease, license, sublicense, distribute or otherwise transfer in whole or in part the Software to another party;</t>
  </si>
  <si>
    <t>(ii) modify or create derivative works based upon the Software.</t>
  </si>
  <si>
    <t>(iii) decompile, disassemble, reverse engineer, or otherwise attempt to derive source code from the Software, in whole or in part.</t>
  </si>
  <si>
    <t>4. Maintenance and Training</t>
  </si>
  <si>
    <t>5. Title.</t>
  </si>
  <si>
    <t>6. Warranty and Liability.</t>
  </si>
  <si>
    <t>7. Term and Termination.</t>
  </si>
  <si>
    <t>This SLA commences on the Effective Date and continues until this SLA has been terminated. A party may terminate this Agreement for cause upon 30 days prior written notice to the other party of a material breach by the other party if such breach remains uncured at the expiration of such period. In the event of termination, Licensee must destroy all copies of the Software.</t>
  </si>
  <si>
    <t>(i) Headings under this SLA are intended only for convenience and shall not affect the interpretation of this SLA. No failure of either party to exercise or enforce any of its rights under this SLA will act as a waiver of those rights. This SLA may only be modified, or any rights under it waived, by a written document executed by a duly authorized signatory of the party against which it is asserted.</t>
  </si>
  <si>
    <t>(ii) If any provision of this SLA is found illegal or unenforceable, it will be enforced to the maximum extent permissible, and the legality and enforceability of the other provisions of this SLA will not be affected.</t>
  </si>
  <si>
    <t>ALECA Software License Agreement</t>
  </si>
  <si>
    <t>(iv) charge any third party a software fee to use ALECA.</t>
  </si>
  <si>
    <t>Subject to the terms of this SLA, FZAG hereby grants Licensee a royalty-free, free of cost, nonexclusive, non-transferable license to use the ALECA Software.  Any future ALECA versions or derivative tools may have different License Agreements defined at the sole discretion of FZAG.</t>
  </si>
  <si>
    <t>(i) Updates. Licensee agrees that FZAG does not have any obligation to make any updates to Licensed Materials, nor to make available new ALECA versions to previous Licensees under the same license conditions</t>
  </si>
  <si>
    <t>(ii) Training and Support. At FZAG’s sole discretion, FZAG may provide training and support to Licensee.</t>
  </si>
  <si>
    <t>(iii) Licensee is not permitted to charge for ALECA training, unless previously agreed with FZAG in specific conditions.</t>
  </si>
  <si>
    <t>Except for the rights explicitly granted in this SLA, FZAG retains all right, title, and interest in and to the Software and Work Product and in all related copyrights, trade secrets, patents, trademarks, and any other intellectual and industrial property and proprietary rights, including registrations, applications, renewals, and extensions of such rights. Licensee is not granted any rights to any trademarks or service marks of FZAG. FZAG may choose to not take any action, including legal action, against unauthorized use of ALECA, and this will not waive its right to do so at any time.</t>
  </si>
  <si>
    <t>(iii) Third Party Software Notice. If the Software utilizes certain software, including programs and/or libraries, which may be owned or controlled by a party other than FZAG (“Third Party Software”), any such Third Party Software will be subject to the terms of its accompanying Third Party Software license. If applicable, FZAG agrees that it shall provide Licensee with a complete listing of all Third-Party software included in Licensed Materials.</t>
  </si>
  <si>
    <t xml:space="preserve">IMPORTANT—READ CAREFULLY: This Flughafen Zürich AG (FZAG) Software License Agreement ("SLA") is a legal agreement between you (“Licensee”), either an individual or a single entity, and Flughafen Zürich AG (FZAG) for "ALECA" (any version), and, as appropriate, any Documentation. By obtaining, viewing, copying, or otherwise using the Licensed Materials, you agree to be bound by the terms of this SLA. If you do not agree to the terms of this SLA, you may not use the Licensed Materials and should delete all electronic copies and destroy any "hardcopies" that may have been printed. </t>
  </si>
  <si>
    <t>"Software" shall mean ALECA (Aircraft Local Emission Calculator for Airports) computer program on software media in a form executable by a computer in conjunction with Third Party software, which includes electronic files and “online” or electronic documentation.</t>
  </si>
  <si>
    <t>Software License Agreement</t>
  </si>
  <si>
    <t>By using ALECA, users agree to the ALECA software licensing agreement. ALECA should not be used in place of any model required by local regulation.</t>
  </si>
  <si>
    <t>No Warranty, No Liability: Licensee and affiliated companies agree that the FZAG licensed materials are provided “as is” and that FZAG makes no representation or warranty with respect to the performance of the licensed materials including their accuracy, effectiveness or commercial viability. FZAG disclaims all warranties with regard to the licensed materials, derivative works and any system incorporating licensed materials and/or derivative works, including, but not limited to, all warranties, express or implied, of merchantability and fitness for any particular purpose, and non-infringement of Third Party proprietary rights. FZAG additionally disclaims all obligations and liabilities on the part of itself and/or its inventors, for damages, including, but not limited to, direct, indirect, special, and consequential damages, attorneys’ and experts’ fees, and court costs (even if a party has been advised of the possibility of such damages, fees or costs), arising out of or in connection with the development, production, use or practice of the licensed materials or derivative works. Licensee and its affiliated companies assume all responsibility and liability for loss or damage caused by a product developed, produced or used or a service practiced, by Licensee and its affiliated companies which uses the licensed materials or derivative works. The provisions of this section survive the termination of this SLA.</t>
  </si>
  <si>
    <t>8. Applicable Law and Jurisdiction.</t>
  </si>
  <si>
    <t>This SLA and its interpretation and enfoceability shall be governed by the laws of Switzerland to the exclusion of (i) the United Nations Convention on Contracts for the international Sale of Goods (CISG), and to the exclusion of (ii) conflict of law rules. Licensee agrees to the exclusive jurisdiction of the courts at the registered office of FZAG in Kloten, Switzerland.</t>
  </si>
  <si>
    <t>9. General.</t>
  </si>
  <si>
    <t>Airbus 330Neo*</t>
  </si>
  <si>
    <t>It has initially been developed by Flughafen Zürich AG, Environmental Department (09/2018-01/2019).</t>
  </si>
  <si>
    <t>H504</t>
  </si>
  <si>
    <t>CT7-2E1</t>
  </si>
  <si>
    <t>CT7-2</t>
  </si>
  <si>
    <t>20PW129</t>
  </si>
  <si>
    <t>20PW130</t>
  </si>
  <si>
    <t>20PW131</t>
  </si>
  <si>
    <t>20PW134</t>
  </si>
  <si>
    <t>20PW135</t>
  </si>
  <si>
    <t>20PW133</t>
  </si>
  <si>
    <t>J484</t>
  </si>
  <si>
    <t>J485</t>
  </si>
  <si>
    <t>J486</t>
  </si>
  <si>
    <t>J487</t>
  </si>
  <si>
    <t>20PW136</t>
  </si>
  <si>
    <t>20PW138</t>
  </si>
  <si>
    <t>PW1919G</t>
  </si>
  <si>
    <t>PW1921G</t>
  </si>
  <si>
    <t>PW1922G</t>
  </si>
  <si>
    <t>PW1923G</t>
  </si>
  <si>
    <t>18RR079</t>
  </si>
  <si>
    <t>20BR012</t>
  </si>
  <si>
    <t>J861</t>
  </si>
  <si>
    <t>BR700-710D5-21</t>
  </si>
  <si>
    <t>20CM088</t>
  </si>
  <si>
    <t>20CM089</t>
  </si>
  <si>
    <t>20CM092</t>
  </si>
  <si>
    <t>20CM094</t>
  </si>
  <si>
    <t>20CM095</t>
  </si>
  <si>
    <t>20CM090</t>
  </si>
  <si>
    <t>20CM096</t>
  </si>
  <si>
    <t>20CM098</t>
  </si>
  <si>
    <t>20CM101</t>
  </si>
  <si>
    <t>J925</t>
  </si>
  <si>
    <t>J932</t>
  </si>
  <si>
    <t>J933</t>
  </si>
  <si>
    <t>J934</t>
  </si>
  <si>
    <t>LEAP-1A24</t>
  </si>
  <si>
    <t>LEAP-1A29</t>
  </si>
  <si>
    <t>LEAP-1B21</t>
  </si>
  <si>
    <t>LEAP-1B23</t>
  </si>
  <si>
    <t>LEAP-1A24/24E1/23</t>
  </si>
  <si>
    <t>LEAP-1A26/26E1/26CJ</t>
  </si>
  <si>
    <t>LEAP-1A29/29CJ</t>
  </si>
  <si>
    <t>LEAP-1B28BBJ2/28B2C</t>
  </si>
  <si>
    <t>LEAP-1B28/28B1/28B2/28B3/28BBJ1</t>
  </si>
  <si>
    <t>20cm090</t>
  </si>
  <si>
    <t>Source: FZAG Analysis aircraft traffic 2019, ADAECAM/ICAO (+corrections)</t>
  </si>
  <si>
    <r>
      <t xml:space="preserve">Select the calculation mode: Certification or performance based. Performance-based calculations are far less accurate and indicative only. They are based on the ADAECAM model (Zurich airport) and ZRH evaluations. </t>
    </r>
    <r>
      <rPr>
        <sz val="10"/>
        <color theme="1"/>
        <rFont val="Wingdings"/>
        <charset val="2"/>
      </rPr>
      <t>Ü</t>
    </r>
    <r>
      <rPr>
        <sz val="10"/>
        <color theme="1"/>
        <rFont val="Arial"/>
        <family val="2"/>
      </rPr>
      <t xml:space="preserve"> This might not work properly for other airports and fleetmix. </t>
    </r>
  </si>
  <si>
    <t>ef/v20-49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</si>
</sst>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_(* #,##0.0_);_(* \(#,##0.0\);_(* &quot;-&quot;??_);_(@_)"/>
    <numFmt numFmtId="165" formatCode="_ * #,##0.0_ ;_ * \-#,##0.0_ ;_ * &quot;-&quot;??_ ;_ @_ "/>
    <numFmt numFmtId="166" formatCode="_ * #,##0_ ;_ * \-#,##0_ ;_ * &quot;-&quot;??_ ;_ @_ "/>
    <numFmt numFmtId="167" formatCode="_ * #,##0.0_ ;_ * \-#,##0.0_ ;_ * &quot;-&quot;?_ ;_ @_ "/>
    <numFmt numFmtId="168" formatCode="_ * #,##0.000_ ;_ * \-#,##0.000_ ;_ * &quot;-&quot;??_ ;_ @_ "/>
    <numFmt numFmtId="169" formatCode="0.0%"/>
    <numFmt numFmtId="170" formatCode="0.0E+00"/>
    <numFmt numFmtId="171" formatCode="0.0"/>
    <numFmt numFmtId="172" formatCode="0.00.E+00"/>
    <numFmt numFmtId="173" formatCode="_ * #,##0.00_ ;_ * \-#,##0.00_ ;_ * &quot;-&quot;?_ ;_ @_ "/>
    <numFmt numFmtId="174" formatCode="_ * #,##0.000000_ ;_ * \-#,##0.000000_ ;_ * &quot;-&quot;??_ ;_ @_ "/>
    <numFmt numFmtId="175" formatCode="_ * #,##0_ ;_ * \-#,##0_ ;_ * &quot;-&quot;?_ ;_ @_ "/>
    <numFmt numFmtId="176" formatCode="0.000"/>
  </numFmts>
  <fonts count="70" x14ac:knownFonts="1">
    <font>
      <sz val="10"/>
      <color theme="1"/>
      <name val="Arial"/>
      <family val="2"/>
    </font>
    <font>
      <sz val="10"/>
      <color theme="1"/>
      <name val="Arial"/>
      <family val="2"/>
    </font>
    <font>
      <b/>
      <sz val="10"/>
      <color theme="0"/>
      <name val="Arial"/>
      <family val="2"/>
    </font>
    <font>
      <b/>
      <sz val="10"/>
      <color theme="1"/>
      <name val="Arial"/>
      <family val="2"/>
    </font>
    <font>
      <sz val="10"/>
      <color theme="0"/>
      <name val="Arial"/>
      <family val="2"/>
    </font>
    <font>
      <sz val="9"/>
      <color theme="1"/>
      <name val="Arial"/>
      <family val="2"/>
    </font>
    <font>
      <vertAlign val="subscript"/>
      <sz val="10"/>
      <color theme="1"/>
      <name val="Arial"/>
      <family val="2"/>
    </font>
    <font>
      <b/>
      <sz val="14"/>
      <color rgb="FF0069AA"/>
      <name val="Gill Sans MT"/>
      <family val="2"/>
    </font>
    <font>
      <sz val="9"/>
      <name val="Arial"/>
      <family val="2"/>
    </font>
    <font>
      <b/>
      <sz val="9"/>
      <name val="Arial"/>
      <family val="2"/>
    </font>
    <font>
      <sz val="9"/>
      <color rgb="FF000000"/>
      <name val="Arial"/>
      <family val="2"/>
    </font>
    <font>
      <b/>
      <sz val="9"/>
      <color rgb="FF000000"/>
      <name val="Arial"/>
      <family val="2"/>
    </font>
    <font>
      <b/>
      <sz val="9"/>
      <color theme="1"/>
      <name val="Arial"/>
      <family val="2"/>
    </font>
    <font>
      <b/>
      <sz val="10"/>
      <name val="Arial"/>
      <family val="2"/>
    </font>
    <font>
      <sz val="9"/>
      <color indexed="8"/>
      <name val="Arial"/>
      <family val="2"/>
    </font>
    <font>
      <vertAlign val="subscript"/>
      <sz val="9"/>
      <color rgb="FF000000"/>
      <name val="Arial"/>
      <family val="2"/>
    </font>
    <font>
      <u/>
      <sz val="10"/>
      <color indexed="12"/>
      <name val="Arial"/>
      <family val="2"/>
    </font>
    <font>
      <b/>
      <sz val="9"/>
      <color indexed="81"/>
      <name val="Tahoma"/>
      <family val="2"/>
    </font>
    <font>
      <sz val="9"/>
      <color indexed="81"/>
      <name val="Tahoma"/>
      <family val="2"/>
    </font>
    <font>
      <b/>
      <sz val="14"/>
      <color rgb="FF005EA4"/>
      <name val="Arial"/>
      <family val="2"/>
    </font>
    <font>
      <b/>
      <sz val="18"/>
      <color rgb="FF005EA4"/>
      <name val="Arial"/>
      <family val="2"/>
    </font>
    <font>
      <b/>
      <sz val="12"/>
      <color theme="0"/>
      <name val="Arial"/>
      <family val="2"/>
    </font>
    <font>
      <i/>
      <sz val="9"/>
      <color rgb="FF005EA4"/>
      <name val="Webdings"/>
      <family val="1"/>
      <charset val="2"/>
    </font>
    <font>
      <sz val="9"/>
      <color indexed="81"/>
      <name val="Segoe UI"/>
      <family val="2"/>
    </font>
    <font>
      <b/>
      <sz val="9"/>
      <color indexed="81"/>
      <name val="Segoe UI"/>
      <family val="2"/>
    </font>
    <font>
      <sz val="9"/>
      <color rgb="FF005EA4"/>
      <name val="Webdings"/>
      <family val="1"/>
      <charset val="2"/>
    </font>
    <font>
      <b/>
      <vertAlign val="subscript"/>
      <sz val="10"/>
      <color theme="1"/>
      <name val="Arial"/>
      <family val="2"/>
    </font>
    <font>
      <b/>
      <sz val="12"/>
      <color rgb="FF0069AA"/>
      <name val="Arial"/>
      <family val="2"/>
    </font>
    <font>
      <sz val="12"/>
      <color theme="1"/>
      <name val="Arial"/>
      <family val="2"/>
    </font>
    <font>
      <b/>
      <sz val="12"/>
      <color theme="1"/>
      <name val="Arial"/>
      <family val="2"/>
    </font>
    <font>
      <i/>
      <sz val="9"/>
      <color theme="1"/>
      <name val="Arial"/>
      <family val="2"/>
    </font>
    <font>
      <b/>
      <sz val="11"/>
      <color rgb="FF005EA4"/>
      <name val="Arial"/>
      <family val="2"/>
    </font>
    <font>
      <b/>
      <sz val="12"/>
      <color rgb="FF005EA4"/>
      <name val="Arial"/>
      <family val="2"/>
    </font>
    <font>
      <sz val="10"/>
      <name val="Arial"/>
      <family val="2"/>
    </font>
    <font>
      <sz val="8"/>
      <color theme="1"/>
      <name val="Arial"/>
      <family val="2"/>
    </font>
    <font>
      <sz val="10"/>
      <color rgb="FFFF0000"/>
      <name val="Arial"/>
      <family val="2"/>
    </font>
    <font>
      <sz val="8"/>
      <color theme="0"/>
      <name val="Arial"/>
      <family val="2"/>
    </font>
    <font>
      <sz val="10"/>
      <color indexed="8"/>
      <name val="Arial"/>
      <family val="2"/>
    </font>
    <font>
      <sz val="9"/>
      <color rgb="FFFF0000"/>
      <name val="Arial"/>
      <family val="2"/>
    </font>
    <font>
      <sz val="9"/>
      <color rgb="FF0070C0"/>
      <name val="Arial"/>
      <family val="2"/>
    </font>
    <font>
      <sz val="9"/>
      <color indexed="10"/>
      <name val="Arial"/>
      <family val="2"/>
    </font>
    <font>
      <sz val="10"/>
      <color theme="1" tint="0.499984740745262"/>
      <name val="Arial"/>
      <family val="2"/>
    </font>
    <font>
      <b/>
      <sz val="9"/>
      <color rgb="FF005EA4"/>
      <name val="Arial"/>
      <family val="2"/>
    </font>
    <font>
      <sz val="9"/>
      <color theme="0" tint="-0.499984740745262"/>
      <name val="Arial"/>
      <family val="2"/>
    </font>
    <font>
      <b/>
      <sz val="9"/>
      <color theme="0" tint="-0.499984740745262"/>
      <name val="Arial"/>
      <family val="2"/>
    </font>
    <font>
      <i/>
      <sz val="10"/>
      <color rgb="FF0070C0"/>
      <name val="Arial"/>
      <family val="2"/>
    </font>
    <font>
      <sz val="10"/>
      <color theme="1"/>
      <name val="Symbol"/>
      <family val="1"/>
      <charset val="2"/>
    </font>
    <font>
      <vertAlign val="superscript"/>
      <sz val="10"/>
      <color theme="1"/>
      <name val="Arial"/>
      <family val="2"/>
    </font>
    <font>
      <i/>
      <sz val="9"/>
      <name val="Arial"/>
      <family val="2"/>
    </font>
    <font>
      <b/>
      <vertAlign val="subscript"/>
      <sz val="10"/>
      <color theme="0"/>
      <name val="Arial"/>
      <family val="2"/>
    </font>
    <font>
      <b/>
      <sz val="20"/>
      <color rgb="FF005EA4"/>
      <name val="Arial"/>
      <family val="2"/>
    </font>
    <font>
      <b/>
      <sz val="22"/>
      <color rgb="FF005EA4"/>
      <name val="Arial"/>
      <family val="2"/>
    </font>
    <font>
      <b/>
      <sz val="10"/>
      <color theme="1" tint="0.499984740745262"/>
      <name val="Arial"/>
      <family val="2"/>
    </font>
    <font>
      <b/>
      <sz val="9"/>
      <color rgb="FF0070C0"/>
      <name val="Arial"/>
      <family val="2"/>
    </font>
    <font>
      <b/>
      <sz val="10"/>
      <color rgb="FF0070C0"/>
      <name val="Arial"/>
      <family val="2"/>
    </font>
    <font>
      <b/>
      <sz val="14"/>
      <color theme="1"/>
      <name val="Arial"/>
      <family val="2"/>
    </font>
    <font>
      <sz val="14"/>
      <color theme="1"/>
      <name val="Arial"/>
      <family val="2"/>
    </font>
    <font>
      <b/>
      <u/>
      <sz val="10"/>
      <color theme="1"/>
      <name val="Arial"/>
      <family val="2"/>
    </font>
    <font>
      <sz val="10"/>
      <color theme="0" tint="-0.34998626667073579"/>
      <name val="Arial"/>
      <family val="2"/>
    </font>
    <font>
      <i/>
      <sz val="10"/>
      <color rgb="FF005EA4"/>
      <name val="Arial"/>
      <family val="2"/>
    </font>
    <font>
      <b/>
      <i/>
      <sz val="10"/>
      <color theme="1"/>
      <name val="Arial"/>
      <family val="2"/>
    </font>
    <font>
      <sz val="10"/>
      <color rgb="FF0070C0"/>
      <name val="Arial"/>
      <family val="2"/>
    </font>
    <font>
      <i/>
      <sz val="8"/>
      <color theme="1"/>
      <name val="Arial"/>
      <family val="2"/>
    </font>
    <font>
      <sz val="11"/>
      <color theme="1"/>
      <name val="Calibri"/>
      <family val="2"/>
      <scheme val="minor"/>
    </font>
    <font>
      <b/>
      <u/>
      <sz val="36"/>
      <color rgb="FF005EA4"/>
      <name val="Arial"/>
      <family val="2"/>
    </font>
    <font>
      <b/>
      <sz val="10"/>
      <color rgb="FF005EA4"/>
      <name val="Arial"/>
      <family val="2"/>
    </font>
    <font>
      <sz val="11"/>
      <name val="Arial"/>
      <family val="2"/>
    </font>
    <font>
      <b/>
      <u/>
      <sz val="11"/>
      <name val="Arial"/>
      <family val="2"/>
    </font>
    <font>
      <b/>
      <sz val="11"/>
      <name val="Arial"/>
      <family val="2"/>
    </font>
    <font>
      <sz val="10"/>
      <color theme="1"/>
      <name val="Wingdings"/>
      <charset val="2"/>
    </font>
  </fonts>
  <fills count="2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rgb="FFE1FFFF"/>
        <bgColor indexed="64"/>
      </patternFill>
    </fill>
    <fill>
      <patternFill patternType="solid">
        <fgColor indexed="9"/>
        <bgColor indexed="64"/>
      </patternFill>
    </fill>
    <fill>
      <patternFill patternType="solid">
        <fgColor rgb="FFFFFFFF"/>
        <bgColor indexed="64"/>
      </patternFill>
    </fill>
    <fill>
      <patternFill patternType="solid">
        <fgColor rgb="FF005EA4"/>
        <bgColor indexed="64"/>
      </patternFill>
    </fill>
    <fill>
      <patternFill patternType="solid">
        <fgColor theme="7" tint="0.39997558519241921"/>
        <bgColor indexed="64"/>
      </patternFill>
    </fill>
    <fill>
      <patternFill patternType="solid">
        <fgColor rgb="FFFFC00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7" tint="-0.249977111117893"/>
        <bgColor indexed="64"/>
      </patternFill>
    </fill>
    <fill>
      <patternFill patternType="solid">
        <fgColor rgb="FFFFFF99"/>
        <bgColor indexed="64"/>
      </patternFill>
    </fill>
    <fill>
      <patternFill patternType="solid">
        <fgColor rgb="FFFFCCFF"/>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FFF0D9"/>
        <bgColor indexed="64"/>
      </patternFill>
    </fill>
    <fill>
      <patternFill patternType="solid">
        <fgColor theme="7" tint="0.59999389629810485"/>
        <bgColor indexed="64"/>
      </patternFill>
    </fill>
    <fill>
      <patternFill patternType="solid">
        <fgColor rgb="FFE1F4FF"/>
        <bgColor indexed="64"/>
      </patternFill>
    </fill>
    <fill>
      <patternFill patternType="solid">
        <fgColor rgb="FF29A3FF"/>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rgb="FF000000"/>
      </left>
      <right/>
      <top/>
      <bottom style="thin">
        <color rgb="FF00000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top style="thin">
        <color theme="0"/>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diagonalUp="1" diagonalDown="1">
      <left style="thin">
        <color theme="0" tint="-0.14996795556505021"/>
      </left>
      <right style="thin">
        <color theme="0" tint="-0.14996795556505021"/>
      </right>
      <top style="thin">
        <color theme="0" tint="-0.14996795556505021"/>
      </top>
      <bottom style="thin">
        <color theme="0" tint="-0.14996795556505021"/>
      </bottom>
      <diagonal style="thin">
        <color theme="0" tint="-0.14993743705557422"/>
      </diagonal>
    </border>
    <border>
      <left style="thin">
        <color theme="0" tint="-0.14996795556505021"/>
      </left>
      <right/>
      <top style="thin">
        <color theme="0" tint="-0.14996795556505021"/>
      </top>
      <bottom style="thin">
        <color indexed="64"/>
      </bottom>
      <diagonal/>
    </border>
    <border>
      <left style="thin">
        <color theme="0" tint="-0.14996795556505021"/>
      </left>
      <right style="thin">
        <color theme="0"/>
      </right>
      <top style="thin">
        <color theme="0" tint="-0.14996795556505021"/>
      </top>
      <bottom style="thin">
        <color indexed="64"/>
      </bottom>
      <diagonal/>
    </border>
    <border>
      <left/>
      <right/>
      <top style="thin">
        <color theme="0" tint="-0.14996795556505021"/>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style="thin">
        <color indexed="22"/>
      </bottom>
      <diagonal/>
    </border>
    <border diagonalUp="1" diagonalDown="1">
      <left/>
      <right/>
      <top/>
      <bottom/>
      <diagonal style="thin">
        <color theme="0" tint="-0.14996795556505021"/>
      </diagonal>
    </border>
    <border>
      <left/>
      <right/>
      <top style="thin">
        <color theme="0" tint="-0.24994659260841701"/>
      </top>
      <bottom style="thin">
        <color theme="0" tint="-0.24994659260841701"/>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style="thin">
        <color rgb="FFFF0000"/>
      </left>
      <right style="thin">
        <color rgb="FFFF0000"/>
      </right>
      <top style="thin">
        <color rgb="FFFF0000"/>
      </top>
      <bottom style="thin">
        <color rgb="FFFF0000"/>
      </bottom>
      <diagonal/>
    </border>
    <border>
      <left/>
      <right/>
      <top/>
      <bottom style="medium">
        <color indexed="64"/>
      </bottom>
      <diagonal/>
    </border>
    <border>
      <left style="thin">
        <color theme="0" tint="-0.14996795556505021"/>
      </left>
      <right/>
      <top style="thin">
        <color theme="0" tint="-0.14996795556505021"/>
      </top>
      <bottom/>
      <diagonal/>
    </border>
    <border>
      <left/>
      <right/>
      <top style="thin">
        <color theme="0" tint="-0.14996795556505021"/>
      </top>
      <bottom style="thin">
        <color theme="0" tint="-0.14996795556505021"/>
      </bottom>
      <diagonal/>
    </border>
    <border>
      <left/>
      <right style="thin">
        <color theme="0" tint="-0.14996795556505021"/>
      </right>
      <top/>
      <bottom style="thin">
        <color theme="0" tint="-0.14996795556505021"/>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style="thin">
        <color theme="0" tint="-0.14996795556505021"/>
      </right>
      <top/>
      <bottom style="thin">
        <color indexed="64"/>
      </bottom>
      <diagonal/>
    </border>
    <border>
      <left style="thin">
        <color theme="0" tint="-0.14996795556505021"/>
      </left>
      <right style="thin">
        <color indexed="64"/>
      </right>
      <top/>
      <bottom style="thin">
        <color indexed="64"/>
      </bottom>
      <diagonal/>
    </border>
    <border>
      <left/>
      <right style="thin">
        <color theme="0" tint="-0.14996795556505021"/>
      </right>
      <top style="thin">
        <color theme="0" tint="-0.14996795556505021"/>
      </top>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theme="0" tint="-0.24994659260841701"/>
      </left>
      <right style="thin">
        <color theme="0" tint="-0.24994659260841701"/>
      </right>
      <top/>
      <bottom/>
      <diagonal/>
    </border>
    <border>
      <left style="thin">
        <color theme="0" tint="-0.14996795556505021"/>
      </left>
      <right style="thin">
        <color theme="0"/>
      </right>
      <top style="thin">
        <color theme="0" tint="-0.14996795556505021"/>
      </top>
      <bottom style="thin">
        <color theme="0" tint="-0.14996795556505021"/>
      </bottom>
      <diagonal/>
    </border>
    <border>
      <left style="thin">
        <color theme="0"/>
      </left>
      <right style="thin">
        <color theme="0"/>
      </right>
      <top style="thin">
        <color theme="0" tint="-0.14996795556505021"/>
      </top>
      <bottom style="thin">
        <color theme="0" tint="-0.14996795556505021"/>
      </bottom>
      <diagonal/>
    </border>
    <border>
      <left style="thin">
        <color theme="0"/>
      </left>
      <right style="thin">
        <color theme="0" tint="-0.14996795556505021"/>
      </right>
      <top style="thin">
        <color theme="0" tint="-0.14996795556505021"/>
      </top>
      <bottom style="thin">
        <color theme="0" tint="-0.14996795556505021"/>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6" fillId="0" borderId="0" applyNumberFormat="0" applyFill="0" applyBorder="0" applyAlignment="0" applyProtection="0">
      <alignment vertical="top"/>
      <protection locked="0"/>
    </xf>
    <xf numFmtId="43" fontId="1" fillId="0" borderId="0" applyFont="0" applyFill="0" applyBorder="0" applyAlignment="0" applyProtection="0"/>
    <xf numFmtId="0" fontId="37" fillId="0" borderId="0"/>
    <xf numFmtId="0" fontId="63" fillId="0" borderId="0"/>
    <xf numFmtId="9" fontId="63" fillId="0" borderId="0" applyFont="0" applyFill="0" applyBorder="0" applyAlignment="0" applyProtection="0"/>
  </cellStyleXfs>
  <cellXfs count="664">
    <xf numFmtId="0" fontId="0" fillId="0" borderId="0" xfId="0"/>
    <xf numFmtId="0" fontId="0" fillId="2" borderId="0" xfId="0" applyFill="1"/>
    <xf numFmtId="0" fontId="0" fillId="4" borderId="0" xfId="0" applyFill="1" applyAlignment="1">
      <alignment vertical="center"/>
    </xf>
    <xf numFmtId="0" fontId="7" fillId="4" borderId="0" xfId="3" applyFont="1" applyFill="1" applyAlignment="1">
      <alignment horizontal="left" vertical="center" wrapText="1"/>
    </xf>
    <xf numFmtId="0" fontId="7" fillId="4" borderId="0" xfId="3" applyFont="1" applyFill="1" applyAlignment="1">
      <alignment horizontal="left" vertical="center"/>
    </xf>
    <xf numFmtId="0" fontId="7" fillId="4" borderId="0" xfId="3" applyFont="1" applyFill="1" applyAlignment="1">
      <alignment horizontal="center" vertical="center"/>
    </xf>
    <xf numFmtId="0" fontId="7" fillId="4" borderId="0" xfId="3" applyNumberFormat="1" applyFont="1" applyFill="1" applyAlignment="1">
      <alignment horizontal="center" vertical="center"/>
    </xf>
    <xf numFmtId="0" fontId="5" fillId="4" borderId="0" xfId="3" applyFont="1" applyFill="1" applyAlignment="1">
      <alignment vertical="center"/>
    </xf>
    <xf numFmtId="0" fontId="5" fillId="0" borderId="0" xfId="3" applyFont="1" applyAlignment="1">
      <alignment vertical="center"/>
    </xf>
    <xf numFmtId="0" fontId="8" fillId="4" borderId="0" xfId="3" applyNumberFormat="1" applyFont="1" applyFill="1" applyAlignment="1">
      <alignment horizontal="center" vertical="center"/>
    </xf>
    <xf numFmtId="0" fontId="8" fillId="4" borderId="0" xfId="3" applyFont="1" applyFill="1" applyAlignment="1">
      <alignment vertical="center"/>
    </xf>
    <xf numFmtId="0" fontId="8" fillId="4" borderId="0" xfId="0" applyFont="1" applyFill="1" applyAlignment="1">
      <alignment vertical="center"/>
    </xf>
    <xf numFmtId="0" fontId="8" fillId="0" borderId="0" xfId="3" applyFont="1" applyAlignment="1">
      <alignment vertical="center"/>
    </xf>
    <xf numFmtId="0" fontId="9" fillId="4" borderId="6" xfId="3" applyFont="1" applyFill="1" applyBorder="1" applyAlignment="1">
      <alignment vertical="center" wrapText="1"/>
    </xf>
    <xf numFmtId="0" fontId="9" fillId="4" borderId="5" xfId="3" applyFont="1" applyFill="1" applyBorder="1" applyAlignment="1">
      <alignment vertical="center" wrapText="1"/>
    </xf>
    <xf numFmtId="0" fontId="5" fillId="4" borderId="10" xfId="3" applyFont="1" applyFill="1" applyBorder="1" applyAlignment="1">
      <alignment vertical="center"/>
    </xf>
    <xf numFmtId="0" fontId="10" fillId="6" borderId="1" xfId="3" applyFont="1" applyFill="1" applyBorder="1" applyAlignment="1">
      <alignment horizontal="right" vertical="center" wrapText="1"/>
    </xf>
    <xf numFmtId="0" fontId="5" fillId="4" borderId="7" xfId="3" applyFont="1" applyFill="1" applyBorder="1" applyAlignment="1">
      <alignment vertical="center"/>
    </xf>
    <xf numFmtId="0" fontId="5" fillId="4" borderId="0" xfId="3" applyFont="1" applyFill="1" applyBorder="1" applyAlignment="1">
      <alignment vertical="center"/>
    </xf>
    <xf numFmtId="0" fontId="5" fillId="4" borderId="11" xfId="3" applyFont="1" applyFill="1" applyBorder="1" applyAlignment="1">
      <alignment vertical="center"/>
    </xf>
    <xf numFmtId="0" fontId="5" fillId="4" borderId="8" xfId="3" applyFont="1" applyFill="1" applyBorder="1" applyAlignment="1">
      <alignment vertical="center"/>
    </xf>
    <xf numFmtId="0" fontId="5" fillId="4" borderId="4" xfId="3" applyFont="1" applyFill="1" applyBorder="1" applyAlignment="1">
      <alignment vertical="center"/>
    </xf>
    <xf numFmtId="0" fontId="5" fillId="4" borderId="9" xfId="3" applyFont="1" applyFill="1" applyBorder="1" applyAlignment="1">
      <alignment vertical="center"/>
    </xf>
    <xf numFmtId="0" fontId="11" fillId="3" borderId="1" xfId="3" applyFont="1" applyFill="1" applyBorder="1" applyAlignment="1">
      <alignment vertical="center" wrapText="1"/>
    </xf>
    <xf numFmtId="0" fontId="12" fillId="3" borderId="1" xfId="3" applyFont="1" applyFill="1" applyBorder="1" applyAlignment="1">
      <alignment horizontal="right" vertical="center"/>
    </xf>
    <xf numFmtId="0" fontId="9" fillId="3" borderId="1" xfId="3" applyFont="1" applyFill="1" applyBorder="1" applyAlignment="1">
      <alignment vertical="center" wrapText="1"/>
    </xf>
    <xf numFmtId="0" fontId="12" fillId="3" borderId="1" xfId="3" applyNumberFormat="1" applyFont="1" applyFill="1" applyBorder="1" applyAlignment="1">
      <alignment horizontal="center" vertical="center"/>
    </xf>
    <xf numFmtId="0" fontId="13" fillId="7" borderId="1" xfId="0" applyFont="1" applyFill="1" applyBorder="1" applyAlignment="1">
      <alignment horizontal="left" vertical="center"/>
    </xf>
    <xf numFmtId="0" fontId="0" fillId="0" borderId="0" xfId="0" applyAlignment="1">
      <alignment vertical="center"/>
    </xf>
    <xf numFmtId="0" fontId="9" fillId="0" borderId="1" xfId="3" applyFont="1" applyBorder="1" applyAlignment="1">
      <alignment vertical="center" wrapText="1"/>
    </xf>
    <xf numFmtId="0" fontId="9" fillId="0" borderId="1" xfId="3" applyFont="1" applyBorder="1" applyAlignment="1">
      <alignment horizontal="center" vertical="center" wrapText="1"/>
    </xf>
    <xf numFmtId="0" fontId="0" fillId="0" borderId="1" xfId="0" applyNumberFormat="1" applyBorder="1" applyAlignment="1">
      <alignment horizontal="center" vertical="center"/>
    </xf>
    <xf numFmtId="0" fontId="9" fillId="7" borderId="1" xfId="0" applyFont="1" applyFill="1" applyBorder="1" applyAlignment="1">
      <alignment horizontal="left" vertical="center"/>
    </xf>
    <xf numFmtId="164" fontId="14" fillId="6" borderId="12" xfId="1" applyNumberFormat="1" applyFont="1" applyFill="1" applyBorder="1" applyAlignment="1">
      <alignment horizontal="center" vertical="center" wrapText="1"/>
    </xf>
    <xf numFmtId="0" fontId="10" fillId="0" borderId="1" xfId="3" applyFont="1" applyBorder="1" applyAlignment="1">
      <alignment vertical="center" wrapText="1"/>
    </xf>
    <xf numFmtId="0" fontId="10" fillId="0" borderId="1" xfId="3" applyFont="1" applyBorder="1" applyAlignment="1">
      <alignment horizontal="center" vertical="center" wrapText="1"/>
    </xf>
    <xf numFmtId="0" fontId="14" fillId="8" borderId="13" xfId="1" applyNumberFormat="1" applyFont="1" applyFill="1" applyBorder="1" applyAlignment="1">
      <alignment horizontal="center" vertical="center" wrapText="1"/>
    </xf>
    <xf numFmtId="0" fontId="9" fillId="0" borderId="1" xfId="0" applyFont="1" applyFill="1" applyBorder="1" applyAlignment="1">
      <alignment horizontal="left" vertical="center"/>
    </xf>
    <xf numFmtId="0" fontId="11" fillId="0" borderId="1" xfId="3" applyFont="1" applyBorder="1" applyAlignment="1">
      <alignment vertical="center" wrapText="1"/>
    </xf>
    <xf numFmtId="0" fontId="5" fillId="0" borderId="14" xfId="3" applyFont="1" applyBorder="1" applyAlignment="1">
      <alignment vertical="center"/>
    </xf>
    <xf numFmtId="0" fontId="5" fillId="0" borderId="14" xfId="3" applyFont="1" applyBorder="1" applyAlignment="1">
      <alignment horizontal="right" vertical="center"/>
    </xf>
    <xf numFmtId="0" fontId="5" fillId="0" borderId="15" xfId="3" applyFont="1" applyBorder="1" applyAlignment="1">
      <alignment horizontal="center" vertical="center"/>
    </xf>
    <xf numFmtId="0" fontId="5" fillId="0" borderId="16" xfId="3" applyFont="1" applyBorder="1" applyAlignment="1">
      <alignment vertical="center"/>
    </xf>
    <xf numFmtId="0" fontId="5" fillId="0" borderId="15" xfId="3" applyNumberFormat="1" applyFont="1" applyBorder="1" applyAlignment="1">
      <alignment horizontal="center" vertical="center"/>
    </xf>
    <xf numFmtId="0" fontId="5" fillId="0" borderId="15" xfId="3" applyFont="1" applyBorder="1" applyAlignment="1">
      <alignment vertical="center"/>
    </xf>
    <xf numFmtId="0" fontId="5" fillId="4" borderId="15" xfId="3" applyFont="1" applyFill="1" applyBorder="1" applyAlignment="1">
      <alignment vertical="center"/>
    </xf>
    <xf numFmtId="0" fontId="2" fillId="9" borderId="4" xfId="0" applyFont="1" applyFill="1" applyBorder="1"/>
    <xf numFmtId="0" fontId="4" fillId="9" borderId="4" xfId="0" applyFont="1" applyFill="1" applyBorder="1"/>
    <xf numFmtId="0" fontId="21" fillId="9" borderId="0" xfId="0" applyFont="1" applyFill="1"/>
    <xf numFmtId="0" fontId="4" fillId="9" borderId="0" xfId="0" applyFont="1" applyFill="1"/>
    <xf numFmtId="0" fontId="12" fillId="3" borderId="2" xfId="3" applyNumberFormat="1" applyFont="1" applyFill="1" applyBorder="1" applyAlignment="1">
      <alignment horizontal="left" vertical="center"/>
    </xf>
    <xf numFmtId="0" fontId="0" fillId="0" borderId="2" xfId="0" applyNumberFormat="1" applyBorder="1" applyAlignment="1">
      <alignment horizontal="left" vertical="center"/>
    </xf>
    <xf numFmtId="0" fontId="14" fillId="8" borderId="17" xfId="1" applyNumberFormat="1" applyFont="1" applyFill="1" applyBorder="1" applyAlignment="1">
      <alignment horizontal="left" vertical="center" wrapText="1"/>
    </xf>
    <xf numFmtId="0" fontId="16" fillId="8" borderId="17" xfId="4" applyNumberFormat="1" applyFill="1" applyBorder="1" applyAlignment="1" applyProtection="1">
      <alignment horizontal="left" vertical="center" wrapText="1"/>
    </xf>
    <xf numFmtId="0" fontId="5" fillId="4" borderId="1" xfId="3" applyFont="1" applyFill="1" applyBorder="1" applyAlignment="1">
      <alignment vertical="center"/>
    </xf>
    <xf numFmtId="0" fontId="0" fillId="0" borderId="1" xfId="0" applyBorder="1" applyAlignment="1">
      <alignment vertical="center" wrapText="1"/>
    </xf>
    <xf numFmtId="0" fontId="10" fillId="6" borderId="2" xfId="3" applyFont="1" applyFill="1" applyBorder="1" applyAlignment="1">
      <alignment vertical="center" wrapText="1"/>
    </xf>
    <xf numFmtId="0" fontId="12" fillId="10" borderId="1" xfId="3" applyFont="1" applyFill="1" applyBorder="1" applyAlignment="1">
      <alignment horizontal="right" vertical="center" wrapText="1"/>
    </xf>
    <xf numFmtId="0" fontId="9" fillId="10" borderId="1" xfId="3" applyNumberFormat="1" applyFont="1" applyFill="1" applyBorder="1" applyAlignment="1">
      <alignment horizontal="right" vertical="center"/>
    </xf>
    <xf numFmtId="43" fontId="0" fillId="0" borderId="1" xfId="1" applyFont="1" applyBorder="1"/>
    <xf numFmtId="43" fontId="0" fillId="0" borderId="1" xfId="1" applyFont="1" applyBorder="1" applyAlignment="1">
      <alignment vertical="center"/>
    </xf>
    <xf numFmtId="0" fontId="0" fillId="4" borderId="1" xfId="0" applyFill="1" applyBorder="1" applyAlignment="1" applyProtection="1">
      <alignment horizontal="center" vertical="center"/>
      <protection locked="0"/>
    </xf>
    <xf numFmtId="9" fontId="0" fillId="4" borderId="1" xfId="2" applyFont="1" applyFill="1" applyBorder="1" applyAlignment="1" applyProtection="1">
      <alignment horizontal="center" vertical="center"/>
      <protection locked="0"/>
    </xf>
    <xf numFmtId="0" fontId="5" fillId="4" borderId="18" xfId="3" applyFont="1" applyFill="1" applyBorder="1" applyAlignment="1">
      <alignment vertical="center"/>
    </xf>
    <xf numFmtId="0" fontId="4" fillId="9" borderId="15" xfId="0" applyFont="1" applyFill="1" applyBorder="1"/>
    <xf numFmtId="0" fontId="8" fillId="4" borderId="15" xfId="3" applyFont="1" applyFill="1" applyBorder="1" applyAlignment="1">
      <alignment vertical="center"/>
    </xf>
    <xf numFmtId="0" fontId="8" fillId="0" borderId="15" xfId="3" applyFont="1" applyBorder="1" applyAlignment="1">
      <alignment vertical="center"/>
    </xf>
    <xf numFmtId="0" fontId="0" fillId="0" borderId="15" xfId="0" applyBorder="1"/>
    <xf numFmtId="0" fontId="5" fillId="0" borderId="14" xfId="3" applyFont="1" applyBorder="1" applyAlignment="1">
      <alignment horizontal="center" vertical="center"/>
    </xf>
    <xf numFmtId="0" fontId="5" fillId="0" borderId="19" xfId="3" applyFont="1" applyBorder="1" applyAlignment="1">
      <alignment vertical="center"/>
    </xf>
    <xf numFmtId="0" fontId="5" fillId="0" borderId="14" xfId="3" applyNumberFormat="1" applyFont="1" applyBorder="1" applyAlignment="1">
      <alignment horizontal="center" vertical="center"/>
    </xf>
    <xf numFmtId="0" fontId="5" fillId="4" borderId="14" xfId="3" applyFont="1" applyFill="1" applyBorder="1" applyAlignment="1">
      <alignment vertical="center"/>
    </xf>
    <xf numFmtId="0" fontId="5" fillId="4" borderId="20" xfId="3" applyFont="1" applyFill="1" applyBorder="1" applyAlignment="1">
      <alignment vertical="center"/>
    </xf>
    <xf numFmtId="0" fontId="2" fillId="9" borderId="4" xfId="0" applyFont="1" applyFill="1" applyBorder="1" applyAlignment="1">
      <alignment vertical="center"/>
    </xf>
    <xf numFmtId="0" fontId="0" fillId="0" borderId="21" xfId="0" applyBorder="1"/>
    <xf numFmtId="0" fontId="0" fillId="0" borderId="21" xfId="0" applyBorder="1" applyAlignment="1">
      <alignment horizontal="center"/>
    </xf>
    <xf numFmtId="166" fontId="0" fillId="0" borderId="21" xfId="5" applyNumberFormat="1" applyFont="1" applyBorder="1"/>
    <xf numFmtId="43" fontId="0" fillId="0" borderId="21" xfId="5" applyFont="1" applyBorder="1"/>
    <xf numFmtId="165" fontId="0" fillId="0" borderId="21" xfId="5" applyNumberFormat="1" applyFont="1" applyBorder="1"/>
    <xf numFmtId="166" fontId="0" fillId="0" borderId="21" xfId="5" applyNumberFormat="1" applyFont="1" applyBorder="1" applyAlignment="1">
      <alignment horizontal="right"/>
    </xf>
    <xf numFmtId="43" fontId="0" fillId="0" borderId="21" xfId="5" applyFont="1" applyBorder="1" applyAlignment="1">
      <alignment horizontal="right"/>
    </xf>
    <xf numFmtId="0" fontId="0" fillId="0" borderId="21" xfId="0" applyFill="1" applyBorder="1"/>
    <xf numFmtId="43" fontId="0" fillId="0" borderId="21" xfId="1" applyFont="1" applyBorder="1" applyAlignment="1">
      <alignment horizontal="center"/>
    </xf>
    <xf numFmtId="1" fontId="0" fillId="4" borderId="1" xfId="1" applyNumberFormat="1" applyFont="1" applyFill="1" applyBorder="1" applyAlignment="1" applyProtection="1">
      <alignment horizontal="center" vertical="center"/>
      <protection locked="0"/>
    </xf>
    <xf numFmtId="0" fontId="0" fillId="0" borderId="21" xfId="0" applyFill="1" applyBorder="1" applyAlignment="1">
      <alignment horizontal="center"/>
    </xf>
    <xf numFmtId="0" fontId="29" fillId="0" borderId="21" xfId="0" applyFont="1" applyBorder="1" applyAlignment="1">
      <alignment vertical="center"/>
    </xf>
    <xf numFmtId="43" fontId="0" fillId="0" borderId="21" xfId="1" applyFont="1" applyBorder="1"/>
    <xf numFmtId="0" fontId="27" fillId="0" borderId="21" xfId="0" applyFont="1" applyBorder="1" applyAlignment="1"/>
    <xf numFmtId="43" fontId="27" fillId="0" borderId="21" xfId="1" applyFont="1" applyBorder="1" applyAlignment="1"/>
    <xf numFmtId="0" fontId="27" fillId="0" borderId="21" xfId="0" applyFont="1" applyBorder="1" applyAlignment="1">
      <alignment horizontal="center"/>
    </xf>
    <xf numFmtId="0" fontId="28" fillId="0" borderId="21" xfId="0" applyFont="1" applyBorder="1" applyAlignment="1">
      <alignment horizontal="left"/>
    </xf>
    <xf numFmtId="0" fontId="3" fillId="15" borderId="21" xfId="0" applyFont="1" applyFill="1" applyBorder="1" applyAlignment="1">
      <alignment horizontal="right" vertical="top" wrapText="1"/>
    </xf>
    <xf numFmtId="165" fontId="3" fillId="3" borderId="21" xfId="5" applyNumberFormat="1" applyFont="1" applyFill="1" applyBorder="1" applyAlignment="1">
      <alignment horizontal="right" vertical="top" wrapText="1"/>
    </xf>
    <xf numFmtId="43" fontId="3" fillId="3" borderId="21" xfId="5" applyFont="1" applyFill="1" applyBorder="1" applyAlignment="1">
      <alignment horizontal="right" vertical="top" wrapText="1"/>
    </xf>
    <xf numFmtId="166" fontId="3" fillId="11" borderId="21" xfId="5" applyNumberFormat="1" applyFont="1" applyFill="1" applyBorder="1" applyAlignment="1">
      <alignment horizontal="right" vertical="top" wrapText="1"/>
    </xf>
    <xf numFmtId="43" fontId="3" fillId="11" borderId="21" xfId="5" applyFont="1" applyFill="1" applyBorder="1" applyAlignment="1">
      <alignment horizontal="right" vertical="top" wrapText="1"/>
    </xf>
    <xf numFmtId="0" fontId="0" fillId="0" borderId="21" xfId="0" applyBorder="1" applyAlignment="1">
      <alignment vertical="top" wrapText="1"/>
    </xf>
    <xf numFmtId="0" fontId="3" fillId="0" borderId="21" xfId="0" applyFont="1" applyBorder="1"/>
    <xf numFmtId="0" fontId="0" fillId="0" borderId="21" xfId="0" applyFont="1" applyBorder="1"/>
    <xf numFmtId="43" fontId="3" fillId="0" borderId="21" xfId="1" applyFont="1" applyBorder="1"/>
    <xf numFmtId="0" fontId="0" fillId="0" borderId="22" xfId="0" applyBorder="1"/>
    <xf numFmtId="0" fontId="3" fillId="0" borderId="22" xfId="0" applyFont="1" applyBorder="1"/>
    <xf numFmtId="0" fontId="0" fillId="0" borderId="22" xfId="0" applyFont="1" applyBorder="1" applyAlignment="1">
      <alignment horizontal="right"/>
    </xf>
    <xf numFmtId="0" fontId="5" fillId="0" borderId="22" xfId="0" applyFont="1" applyFill="1" applyBorder="1" applyAlignment="1">
      <alignment horizontal="center" vertical="center" wrapText="1"/>
    </xf>
    <xf numFmtId="0" fontId="0" fillId="0" borderId="23" xfId="0" applyBorder="1"/>
    <xf numFmtId="0" fontId="0" fillId="0" borderId="24" xfId="0" applyBorder="1"/>
    <xf numFmtId="0" fontId="0" fillId="0" borderId="26" xfId="0" applyFont="1" applyBorder="1"/>
    <xf numFmtId="0" fontId="3" fillId="0" borderId="25" xfId="0" applyFont="1" applyBorder="1"/>
    <xf numFmtId="0" fontId="3" fillId="5" borderId="22" xfId="0" applyFont="1" applyFill="1" applyBorder="1"/>
    <xf numFmtId="0" fontId="0" fillId="5" borderId="22" xfId="0" applyFill="1" applyBorder="1"/>
    <xf numFmtId="0" fontId="3" fillId="0" borderId="22" xfId="0" applyFont="1" applyBorder="1" applyAlignment="1">
      <alignment horizontal="right"/>
    </xf>
    <xf numFmtId="0" fontId="0" fillId="0" borderId="22" xfId="0" applyBorder="1" applyAlignment="1">
      <alignment horizontal="right"/>
    </xf>
    <xf numFmtId="0" fontId="0" fillId="0" borderId="26" xfId="0" applyBorder="1"/>
    <xf numFmtId="0" fontId="5" fillId="13" borderId="22" xfId="0" applyFont="1" applyFill="1" applyBorder="1" applyAlignment="1">
      <alignment horizontal="right" vertical="top" wrapText="1"/>
    </xf>
    <xf numFmtId="0" fontId="3" fillId="16" borderId="21" xfId="0" applyFont="1" applyFill="1" applyBorder="1"/>
    <xf numFmtId="0" fontId="0" fillId="16" borderId="21" xfId="0" applyFont="1" applyFill="1" applyBorder="1"/>
    <xf numFmtId="0" fontId="0" fillId="0" borderId="22" xfId="0" applyFont="1" applyFill="1" applyBorder="1" applyAlignment="1">
      <alignment horizontal="center" vertical="center" wrapText="1"/>
    </xf>
    <xf numFmtId="43" fontId="0" fillId="0" borderId="22" xfId="1" applyFont="1" applyBorder="1"/>
    <xf numFmtId="43" fontId="0" fillId="4" borderId="1" xfId="1" applyFont="1" applyFill="1" applyBorder="1" applyAlignment="1" applyProtection="1">
      <alignment horizontal="center" vertical="center"/>
      <protection locked="0"/>
    </xf>
    <xf numFmtId="43" fontId="0" fillId="0" borderId="22" xfId="0" applyNumberFormat="1" applyBorder="1" applyAlignment="1">
      <alignment horizontal="right"/>
    </xf>
    <xf numFmtId="165" fontId="0" fillId="0" borderId="22" xfId="1" applyNumberFormat="1" applyFont="1" applyBorder="1"/>
    <xf numFmtId="165" fontId="3" fillId="16" borderId="22" xfId="1" applyNumberFormat="1" applyFont="1" applyFill="1" applyBorder="1"/>
    <xf numFmtId="168" fontId="0" fillId="0" borderId="22" xfId="1" applyNumberFormat="1" applyFont="1" applyBorder="1"/>
    <xf numFmtId="168" fontId="3" fillId="16" borderId="22" xfId="0" applyNumberFormat="1" applyFont="1" applyFill="1" applyBorder="1"/>
    <xf numFmtId="0" fontId="0" fillId="17" borderId="22" xfId="0" applyFill="1" applyBorder="1"/>
    <xf numFmtId="0" fontId="0" fillId="0" borderId="22" xfId="0" applyFill="1" applyBorder="1"/>
    <xf numFmtId="0" fontId="0" fillId="0" borderId="22" xfId="0" applyBorder="1" applyAlignment="1">
      <alignment horizontal="center"/>
    </xf>
    <xf numFmtId="166" fontId="0" fillId="4" borderId="1" xfId="1" applyNumberFormat="1" applyFont="1" applyFill="1" applyBorder="1" applyAlignment="1" applyProtection="1">
      <alignment horizontal="center" vertical="center"/>
      <protection locked="0"/>
    </xf>
    <xf numFmtId="166" fontId="0" fillId="4" borderId="1" xfId="1" applyNumberFormat="1" applyFont="1" applyFill="1" applyBorder="1" applyAlignment="1" applyProtection="1">
      <alignment vertical="center"/>
      <protection locked="0"/>
    </xf>
    <xf numFmtId="0" fontId="3" fillId="2" borderId="21" xfId="0" applyFont="1" applyFill="1" applyBorder="1"/>
    <xf numFmtId="11" fontId="0" fillId="0" borderId="21" xfId="1" applyNumberFormat="1" applyFont="1" applyBorder="1"/>
    <xf numFmtId="0" fontId="3" fillId="2" borderId="21" xfId="0" applyFont="1" applyFill="1" applyBorder="1" applyAlignment="1">
      <alignment horizontal="right"/>
    </xf>
    <xf numFmtId="43" fontId="3" fillId="2" borderId="21" xfId="1" applyFont="1" applyFill="1" applyBorder="1" applyAlignment="1">
      <alignment horizontal="right"/>
    </xf>
    <xf numFmtId="168" fontId="0" fillId="0" borderId="21" xfId="1" applyNumberFormat="1" applyFont="1" applyBorder="1"/>
    <xf numFmtId="168" fontId="3" fillId="0" borderId="21" xfId="1" applyNumberFormat="1" applyFont="1" applyBorder="1"/>
    <xf numFmtId="0" fontId="2" fillId="9" borderId="22" xfId="0" applyFont="1" applyFill="1" applyBorder="1" applyAlignment="1"/>
    <xf numFmtId="0" fontId="0" fillId="0" borderId="21" xfId="0" applyBorder="1" applyAlignment="1">
      <alignment horizontal="right"/>
    </xf>
    <xf numFmtId="0" fontId="3" fillId="0" borderId="21" xfId="0" applyFont="1" applyBorder="1" applyAlignment="1">
      <alignment horizontal="right"/>
    </xf>
    <xf numFmtId="0" fontId="3" fillId="0" borderId="22" xfId="0" applyFont="1" applyBorder="1" applyAlignment="1">
      <alignment horizontal="center"/>
    </xf>
    <xf numFmtId="166" fontId="3" fillId="16" borderId="22" xfId="1" applyNumberFormat="1" applyFont="1" applyFill="1" applyBorder="1"/>
    <xf numFmtId="166" fontId="1" fillId="4" borderId="1" xfId="1"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0" fontId="0" fillId="0" borderId="34" xfId="0" applyBorder="1"/>
    <xf numFmtId="166" fontId="3" fillId="0" borderId="22" xfId="1" applyNumberFormat="1" applyFont="1" applyFill="1" applyBorder="1"/>
    <xf numFmtId="0" fontId="0" fillId="0" borderId="32" xfId="0" applyFont="1" applyBorder="1" applyAlignment="1">
      <alignment horizontal="left"/>
    </xf>
    <xf numFmtId="0" fontId="0" fillId="0" borderId="28" xfId="0" applyBorder="1"/>
    <xf numFmtId="11" fontId="0" fillId="0" borderId="22" xfId="0" applyNumberFormat="1" applyBorder="1"/>
    <xf numFmtId="0" fontId="0" fillId="0" borderId="22" xfId="0" applyBorder="1" applyAlignment="1">
      <alignment horizontal="left"/>
    </xf>
    <xf numFmtId="0" fontId="3" fillId="0" borderId="22" xfId="0" applyFont="1" applyFill="1" applyBorder="1"/>
    <xf numFmtId="43" fontId="0" fillId="0" borderId="22" xfId="0" applyNumberFormat="1" applyBorder="1"/>
    <xf numFmtId="43" fontId="3" fillId="16" borderId="22" xfId="0" applyNumberFormat="1" applyFont="1" applyFill="1" applyBorder="1"/>
    <xf numFmtId="0" fontId="0" fillId="2" borderId="0" xfId="0" applyFill="1" applyAlignment="1">
      <alignment vertical="top"/>
    </xf>
    <xf numFmtId="0" fontId="0" fillId="2" borderId="0" xfId="0" applyFill="1" applyAlignment="1">
      <alignment vertical="top" wrapText="1"/>
    </xf>
    <xf numFmtId="0" fontId="36" fillId="9" borderId="4" xfId="0" applyFont="1" applyFill="1" applyBorder="1" applyAlignment="1">
      <alignment horizontal="right"/>
    </xf>
    <xf numFmtId="11" fontId="0" fillId="0" borderId="26" xfId="0" applyNumberFormat="1" applyBorder="1"/>
    <xf numFmtId="0" fontId="3" fillId="5" borderId="21" xfId="0" applyFont="1" applyFill="1" applyBorder="1" applyAlignment="1">
      <alignment vertical="top" wrapText="1"/>
    </xf>
    <xf numFmtId="0" fontId="3" fillId="5" borderId="21" xfId="0" applyFont="1" applyFill="1" applyBorder="1" applyAlignment="1">
      <alignment horizontal="center" vertical="top" wrapText="1"/>
    </xf>
    <xf numFmtId="0" fontId="3" fillId="5" borderId="21" xfId="0" applyFont="1" applyFill="1" applyBorder="1" applyAlignment="1">
      <alignment horizontal="right" vertical="top" wrapText="1"/>
    </xf>
    <xf numFmtId="0" fontId="2" fillId="9" borderId="36" xfId="0" applyFont="1" applyFill="1" applyBorder="1" applyAlignment="1">
      <alignment vertical="center"/>
    </xf>
    <xf numFmtId="0" fontId="2" fillId="9" borderId="37" xfId="0" applyFont="1" applyFill="1" applyBorder="1" applyAlignment="1">
      <alignment horizontal="center" vertical="center"/>
    </xf>
    <xf numFmtId="0" fontId="2" fillId="9" borderId="38" xfId="0" applyFont="1" applyFill="1" applyBorder="1" applyAlignment="1">
      <alignment vertical="center"/>
    </xf>
    <xf numFmtId="11" fontId="0" fillId="0" borderId="21" xfId="1" applyNumberFormat="1" applyFont="1" applyBorder="1" applyAlignment="1">
      <alignment horizontal="right"/>
    </xf>
    <xf numFmtId="170" fontId="3" fillId="0" borderId="21" xfId="0" applyNumberFormat="1" applyFont="1" applyFill="1" applyBorder="1"/>
    <xf numFmtId="165" fontId="0" fillId="0" borderId="21" xfId="1" applyNumberFormat="1" applyFont="1" applyBorder="1"/>
    <xf numFmtId="165" fontId="3" fillId="17" borderId="21" xfId="1" applyNumberFormat="1" applyFont="1" applyFill="1" applyBorder="1" applyAlignment="1">
      <alignment horizontal="right" vertical="top" wrapText="1"/>
    </xf>
    <xf numFmtId="165" fontId="3" fillId="0" borderId="21" xfId="1" applyNumberFormat="1" applyFont="1" applyBorder="1"/>
    <xf numFmtId="0" fontId="3" fillId="0" borderId="23" xfId="0" applyFont="1" applyFill="1" applyBorder="1"/>
    <xf numFmtId="0" fontId="0" fillId="17" borderId="39" xfId="0" applyFill="1" applyBorder="1"/>
    <xf numFmtId="0" fontId="0" fillId="18" borderId="40" xfId="0" applyFill="1" applyBorder="1"/>
    <xf numFmtId="11" fontId="0" fillId="0" borderId="21" xfId="0" applyNumberFormat="1" applyBorder="1"/>
    <xf numFmtId="43" fontId="3" fillId="14" borderId="21" xfId="1" applyFont="1" applyFill="1" applyBorder="1" applyAlignment="1">
      <alignment horizontal="left" vertical="top" wrapText="1" indent="2"/>
    </xf>
    <xf numFmtId="0" fontId="3" fillId="12" borderId="21" xfId="0" applyFont="1" applyFill="1" applyBorder="1" applyAlignment="1">
      <alignment horizontal="left" vertical="top" wrapText="1" indent="2"/>
    </xf>
    <xf numFmtId="0" fontId="3" fillId="0" borderId="21" xfId="0" applyFont="1" applyBorder="1" applyAlignment="1">
      <alignment horizontal="center"/>
    </xf>
    <xf numFmtId="43" fontId="0" fillId="0" borderId="31" xfId="1" applyFont="1" applyBorder="1"/>
    <xf numFmtId="43" fontId="0" fillId="0" borderId="32" xfId="1" applyFont="1" applyBorder="1"/>
    <xf numFmtId="9" fontId="0" fillId="0" borderId="21" xfId="2" applyFont="1" applyBorder="1"/>
    <xf numFmtId="9" fontId="0" fillId="0" borderId="21" xfId="0" applyNumberFormat="1" applyBorder="1"/>
    <xf numFmtId="167" fontId="3" fillId="0" borderId="21" xfId="0" applyNumberFormat="1" applyFont="1" applyFill="1" applyBorder="1"/>
    <xf numFmtId="9" fontId="0" fillId="4" borderId="1" xfId="2" applyFont="1" applyFill="1" applyBorder="1" applyAlignment="1" applyProtection="1">
      <alignment vertical="center"/>
      <protection locked="0"/>
    </xf>
    <xf numFmtId="169" fontId="0" fillId="4" borderId="1" xfId="2" applyNumberFormat="1" applyFont="1" applyFill="1" applyBorder="1" applyAlignment="1" applyProtection="1">
      <alignment vertical="center"/>
      <protection locked="0"/>
    </xf>
    <xf numFmtId="165" fontId="3" fillId="0" borderId="22" xfId="1" applyNumberFormat="1" applyFont="1" applyFill="1" applyBorder="1"/>
    <xf numFmtId="11" fontId="3" fillId="16" borderId="22" xfId="0" applyNumberFormat="1" applyFont="1" applyFill="1" applyBorder="1"/>
    <xf numFmtId="0" fontId="39" fillId="0" borderId="0" xfId="0" applyFont="1"/>
    <xf numFmtId="0" fontId="39" fillId="0" borderId="0" xfId="0" applyFont="1" applyAlignment="1">
      <alignment horizontal="center"/>
    </xf>
    <xf numFmtId="0" fontId="5" fillId="0" borderId="0" xfId="0" applyFont="1"/>
    <xf numFmtId="0" fontId="5" fillId="0" borderId="0" xfId="0" applyFont="1" applyAlignment="1">
      <alignment horizontal="center"/>
    </xf>
    <xf numFmtId="0" fontId="40" fillId="0" borderId="43" xfId="0" applyFont="1" applyFill="1" applyBorder="1" applyAlignment="1">
      <alignment horizontal="right"/>
    </xf>
    <xf numFmtId="43" fontId="5" fillId="0" borderId="0" xfId="1" applyFont="1"/>
    <xf numFmtId="11" fontId="5" fillId="0" borderId="0" xfId="1" applyNumberFormat="1" applyFont="1"/>
    <xf numFmtId="0" fontId="40" fillId="0" borderId="42" xfId="6" applyFont="1" applyFill="1" applyBorder="1" applyAlignment="1">
      <alignment horizontal="right" wrapText="1"/>
    </xf>
    <xf numFmtId="11" fontId="5" fillId="0" borderId="0" xfId="0" applyNumberFormat="1" applyFont="1"/>
    <xf numFmtId="0" fontId="0" fillId="18" borderId="22" xfId="0" applyFill="1" applyBorder="1"/>
    <xf numFmtId="43" fontId="0" fillId="0" borderId="21" xfId="1" applyFont="1" applyBorder="1" applyAlignment="1">
      <alignment horizontal="right"/>
    </xf>
    <xf numFmtId="0" fontId="5" fillId="21" borderId="0" xfId="0" applyFont="1" applyFill="1"/>
    <xf numFmtId="0" fontId="0" fillId="0" borderId="21" xfId="0" applyFont="1" applyFill="1" applyBorder="1"/>
    <xf numFmtId="0" fontId="0" fillId="0" borderId="21" xfId="0" applyFont="1" applyFill="1" applyBorder="1" applyAlignment="1">
      <alignment horizontal="right"/>
    </xf>
    <xf numFmtId="43" fontId="1" fillId="0" borderId="21" xfId="1" applyFont="1" applyFill="1" applyBorder="1" applyAlignment="1">
      <alignment horizontal="right"/>
    </xf>
    <xf numFmtId="43" fontId="1" fillId="0" borderId="21" xfId="1" applyFont="1" applyFill="1" applyBorder="1"/>
    <xf numFmtId="165" fontId="1" fillId="0" borderId="21" xfId="1" applyNumberFormat="1" applyFont="1" applyFill="1" applyBorder="1"/>
    <xf numFmtId="43" fontId="1" fillId="18" borderId="21" xfId="1" applyFont="1" applyFill="1" applyBorder="1" applyAlignment="1">
      <alignment horizontal="right"/>
    </xf>
    <xf numFmtId="166" fontId="3" fillId="22" borderId="21" xfId="5" applyNumberFormat="1" applyFont="1" applyFill="1" applyBorder="1" applyAlignment="1">
      <alignment horizontal="right" vertical="top" wrapText="1"/>
    </xf>
    <xf numFmtId="43" fontId="39" fillId="0" borderId="44" xfId="1" applyFont="1" applyBorder="1"/>
    <xf numFmtId="11" fontId="39" fillId="0" borderId="44" xfId="1" applyNumberFormat="1" applyFont="1" applyBorder="1"/>
    <xf numFmtId="0" fontId="43" fillId="0" borderId="0" xfId="0" applyFont="1"/>
    <xf numFmtId="14" fontId="43" fillId="0" borderId="0" xfId="0" applyNumberFormat="1" applyFont="1" applyAlignment="1">
      <alignment horizontal="center"/>
    </xf>
    <xf numFmtId="43" fontId="0" fillId="0" borderId="35" xfId="1" applyFont="1" applyBorder="1" applyAlignment="1">
      <alignment horizontal="right"/>
    </xf>
    <xf numFmtId="0" fontId="5" fillId="20" borderId="22" xfId="0" applyFont="1" applyFill="1" applyBorder="1" applyAlignment="1">
      <alignment vertical="top"/>
    </xf>
    <xf numFmtId="0" fontId="5" fillId="20" borderId="22" xfId="0" applyFont="1" applyFill="1" applyBorder="1" applyAlignment="1">
      <alignment horizontal="center" vertical="top"/>
    </xf>
    <xf numFmtId="0" fontId="38" fillId="16" borderId="22" xfId="0" applyFont="1" applyFill="1" applyBorder="1" applyAlignment="1">
      <alignment horizontal="right" vertical="top" wrapText="1"/>
    </xf>
    <xf numFmtId="0" fontId="38" fillId="22" borderId="22" xfId="0" applyFont="1" applyFill="1" applyBorder="1" applyAlignment="1">
      <alignment horizontal="right" vertical="top" wrapText="1"/>
    </xf>
    <xf numFmtId="0" fontId="5" fillId="16" borderId="22" xfId="0" applyFont="1" applyFill="1" applyBorder="1" applyAlignment="1">
      <alignment horizontal="right" vertical="top" wrapText="1"/>
    </xf>
    <xf numFmtId="11" fontId="5" fillId="16" borderId="22" xfId="0" applyNumberFormat="1" applyFont="1" applyFill="1" applyBorder="1" applyAlignment="1">
      <alignment horizontal="right" vertical="top" wrapText="1"/>
    </xf>
    <xf numFmtId="0" fontId="5" fillId="22" borderId="22" xfId="0" applyFont="1" applyFill="1" applyBorder="1" applyAlignment="1">
      <alignment horizontal="right" vertical="top" wrapText="1"/>
    </xf>
    <xf numFmtId="0" fontId="43" fillId="20" borderId="22" xfId="0" applyFont="1" applyFill="1" applyBorder="1" applyAlignment="1">
      <alignment horizontal="right" vertical="top"/>
    </xf>
    <xf numFmtId="14" fontId="43" fillId="20" borderId="22" xfId="0" applyNumberFormat="1" applyFont="1" applyFill="1" applyBorder="1" applyAlignment="1">
      <alignment horizontal="center" vertical="top"/>
    </xf>
    <xf numFmtId="0" fontId="43" fillId="20" borderId="22" xfId="0" applyFont="1" applyFill="1" applyBorder="1" applyAlignment="1">
      <alignment vertical="top"/>
    </xf>
    <xf numFmtId="0" fontId="42" fillId="20" borderId="22" xfId="0" applyFont="1" applyFill="1" applyBorder="1" applyAlignment="1">
      <alignment horizontal="center"/>
    </xf>
    <xf numFmtId="0" fontId="44" fillId="20" borderId="22" xfId="0" applyFont="1" applyFill="1" applyBorder="1" applyAlignment="1">
      <alignment horizontal="center"/>
    </xf>
    <xf numFmtId="14" fontId="44" fillId="20" borderId="22" xfId="0" applyNumberFormat="1" applyFont="1" applyFill="1" applyBorder="1" applyAlignment="1">
      <alignment horizontal="center"/>
    </xf>
    <xf numFmtId="43" fontId="5" fillId="0" borderId="0" xfId="1" applyFont="1" applyFill="1"/>
    <xf numFmtId="11" fontId="0" fillId="0" borderId="21" xfId="5" applyNumberFormat="1" applyFont="1" applyBorder="1" applyAlignment="1">
      <alignment horizontal="right"/>
    </xf>
    <xf numFmtId="11" fontId="3" fillId="3" borderId="21" xfId="5" applyNumberFormat="1" applyFont="1" applyFill="1" applyBorder="1" applyAlignment="1">
      <alignment horizontal="right" vertical="top" wrapText="1"/>
    </xf>
    <xf numFmtId="11" fontId="0" fillId="0" borderId="21" xfId="5" applyNumberFormat="1" applyFont="1" applyBorder="1"/>
    <xf numFmtId="11" fontId="3" fillId="0" borderId="21" xfId="0" applyNumberFormat="1" applyFont="1" applyBorder="1"/>
    <xf numFmtId="11" fontId="0" fillId="0" borderId="21" xfId="0" applyNumberFormat="1" applyFont="1" applyBorder="1"/>
    <xf numFmtId="11" fontId="0" fillId="0" borderId="21" xfId="0" applyNumberFormat="1" applyFont="1" applyFill="1" applyBorder="1"/>
    <xf numFmtId="11" fontId="3" fillId="11" borderId="21" xfId="5" applyNumberFormat="1" applyFont="1" applyFill="1" applyBorder="1" applyAlignment="1">
      <alignment horizontal="right" vertical="top" wrapText="1"/>
    </xf>
    <xf numFmtId="11" fontId="3" fillId="0" borderId="21" xfId="1" applyNumberFormat="1" applyFont="1" applyBorder="1"/>
    <xf numFmtId="11" fontId="0" fillId="0" borderId="22" xfId="1" applyNumberFormat="1" applyFont="1" applyBorder="1"/>
    <xf numFmtId="11" fontId="3" fillId="0" borderId="22" xfId="0" applyNumberFormat="1" applyFont="1" applyFill="1" applyBorder="1"/>
    <xf numFmtId="11" fontId="3" fillId="16" borderId="22" xfId="1" applyNumberFormat="1" applyFont="1" applyFill="1" applyBorder="1"/>
    <xf numFmtId="0" fontId="5" fillId="0" borderId="0" xfId="0" applyFont="1" applyFill="1"/>
    <xf numFmtId="0" fontId="5" fillId="0" borderId="0" xfId="0" applyFont="1" applyFill="1" applyAlignment="1">
      <alignment horizontal="center"/>
    </xf>
    <xf numFmtId="11" fontId="5" fillId="0" borderId="0" xfId="1" applyNumberFormat="1" applyFont="1" applyFill="1"/>
    <xf numFmtId="0" fontId="43" fillId="0" borderId="0" xfId="0" applyFont="1" applyFill="1"/>
    <xf numFmtId="14" fontId="43" fillId="0" borderId="0" xfId="0" applyNumberFormat="1" applyFont="1" applyFill="1" applyAlignment="1">
      <alignment horizontal="center"/>
    </xf>
    <xf numFmtId="43" fontId="10" fillId="0" borderId="22" xfId="1" applyFont="1" applyBorder="1" applyAlignment="1">
      <alignment horizontal="right" vertical="center"/>
    </xf>
    <xf numFmtId="0" fontId="45" fillId="0" borderId="22" xfId="0" applyFont="1" applyBorder="1"/>
    <xf numFmtId="0" fontId="8" fillId="20" borderId="22" xfId="0" applyFont="1" applyFill="1" applyBorder="1" applyAlignment="1">
      <alignment horizontal="right" vertical="top"/>
    </xf>
    <xf numFmtId="0" fontId="8" fillId="0" borderId="0" xfId="0" applyFont="1"/>
    <xf numFmtId="0" fontId="8" fillId="0" borderId="0" xfId="0" applyFont="1" applyFill="1"/>
    <xf numFmtId="165" fontId="27" fillId="0" borderId="21" xfId="0" applyNumberFormat="1" applyFont="1" applyBorder="1" applyAlignment="1">
      <alignment horizontal="right"/>
    </xf>
    <xf numFmtId="165" fontId="3" fillId="5" borderId="21" xfId="0" applyNumberFormat="1" applyFont="1" applyFill="1" applyBorder="1" applyAlignment="1">
      <alignment horizontal="right" vertical="top" wrapText="1"/>
    </xf>
    <xf numFmtId="165" fontId="0" fillId="0" borderId="21" xfId="0" applyNumberFormat="1" applyBorder="1" applyAlignment="1">
      <alignment horizontal="right"/>
    </xf>
    <xf numFmtId="165" fontId="3" fillId="0" borderId="21" xfId="0" applyNumberFormat="1" applyFont="1" applyBorder="1" applyAlignment="1">
      <alignment horizontal="right"/>
    </xf>
    <xf numFmtId="165" fontId="0" fillId="0" borderId="33" xfId="1" applyNumberFormat="1" applyFont="1" applyBorder="1"/>
    <xf numFmtId="165" fontId="0" fillId="0" borderId="34" xfId="1" applyNumberFormat="1" applyFont="1" applyBorder="1"/>
    <xf numFmtId="165" fontId="3" fillId="2" borderId="21" xfId="0" applyNumberFormat="1" applyFont="1" applyFill="1" applyBorder="1" applyAlignment="1">
      <alignment horizontal="right"/>
    </xf>
    <xf numFmtId="0" fontId="0" fillId="17" borderId="23" xfId="0" applyFill="1" applyBorder="1"/>
    <xf numFmtId="166" fontId="0" fillId="0" borderId="22" xfId="1" applyNumberFormat="1" applyFont="1" applyBorder="1"/>
    <xf numFmtId="0" fontId="3" fillId="16" borderId="22" xfId="0" applyFont="1" applyFill="1" applyBorder="1" applyAlignment="1">
      <alignment horizontal="right"/>
    </xf>
    <xf numFmtId="0" fontId="0" fillId="0" borderId="45" xfId="0" applyBorder="1"/>
    <xf numFmtId="0" fontId="0" fillId="16" borderId="40" xfId="0" applyFill="1" applyBorder="1"/>
    <xf numFmtId="0" fontId="0" fillId="23" borderId="41" xfId="0" applyFill="1" applyBorder="1"/>
    <xf numFmtId="43" fontId="0" fillId="23" borderId="26" xfId="1" applyFont="1" applyFill="1" applyBorder="1"/>
    <xf numFmtId="43" fontId="0" fillId="23" borderId="26" xfId="0" applyNumberFormat="1" applyFill="1" applyBorder="1" applyAlignment="1">
      <alignment horizontal="right"/>
    </xf>
    <xf numFmtId="43" fontId="0" fillId="23" borderId="23" xfId="1" applyFont="1" applyFill="1" applyBorder="1"/>
    <xf numFmtId="43" fontId="0" fillId="23" borderId="22" xfId="0" applyNumberFormat="1" applyFill="1" applyBorder="1" applyAlignment="1">
      <alignment horizontal="right"/>
    </xf>
    <xf numFmtId="43" fontId="0" fillId="23" borderId="22" xfId="1" applyFont="1" applyFill="1" applyBorder="1"/>
    <xf numFmtId="43" fontId="0" fillId="23" borderId="22" xfId="1" applyFont="1" applyFill="1" applyBorder="1" applyAlignment="1">
      <alignment horizontal="center"/>
    </xf>
    <xf numFmtId="0" fontId="0" fillId="23" borderId="22" xfId="0" applyFill="1" applyBorder="1" applyAlignment="1">
      <alignment horizontal="right"/>
    </xf>
    <xf numFmtId="0" fontId="0" fillId="0" borderId="0" xfId="0" applyFill="1"/>
    <xf numFmtId="43" fontId="0" fillId="0" borderId="21" xfId="0" applyNumberFormat="1" applyBorder="1" applyAlignment="1">
      <alignment horizontal="center"/>
    </xf>
    <xf numFmtId="0" fontId="3" fillId="0" borderId="27" xfId="0" applyFont="1" applyBorder="1" applyAlignment="1">
      <alignment horizontal="center"/>
    </xf>
    <xf numFmtId="0" fontId="0" fillId="0" borderId="27" xfId="0" applyBorder="1" applyAlignment="1">
      <alignment horizontal="center"/>
    </xf>
    <xf numFmtId="0" fontId="0" fillId="18" borderId="23" xfId="0" applyFill="1" applyBorder="1"/>
    <xf numFmtId="0" fontId="0" fillId="0" borderId="0" xfId="0" applyFill="1" applyAlignment="1">
      <alignment vertical="top"/>
    </xf>
    <xf numFmtId="166" fontId="3" fillId="0" borderId="21" xfId="1" applyNumberFormat="1" applyFont="1" applyBorder="1"/>
    <xf numFmtId="169" fontId="0" fillId="4" borderId="1" xfId="2" applyNumberFormat="1" applyFont="1" applyFill="1" applyBorder="1" applyAlignment="1" applyProtection="1">
      <alignment horizontal="center" vertical="center"/>
      <protection locked="0"/>
    </xf>
    <xf numFmtId="166" fontId="0" fillId="16" borderId="21" xfId="1" applyNumberFormat="1" applyFont="1" applyFill="1" applyBorder="1"/>
    <xf numFmtId="166" fontId="3" fillId="16" borderId="21" xfId="1" applyNumberFormat="1" applyFont="1" applyFill="1" applyBorder="1"/>
    <xf numFmtId="166" fontId="0" fillId="0" borderId="21" xfId="1" applyNumberFormat="1" applyFont="1" applyBorder="1"/>
    <xf numFmtId="169" fontId="0" fillId="0" borderId="21" xfId="2" applyNumberFormat="1" applyFont="1" applyBorder="1"/>
    <xf numFmtId="0" fontId="3" fillId="0" borderId="21" xfId="0" applyFont="1" applyBorder="1" applyAlignment="1">
      <alignment horizontal="right" vertical="top"/>
    </xf>
    <xf numFmtId="43" fontId="3" fillId="5" borderId="21" xfId="1" applyFont="1" applyFill="1" applyBorder="1" applyAlignment="1">
      <alignment horizontal="right" vertical="top" wrapText="1"/>
    </xf>
    <xf numFmtId="43" fontId="3" fillId="5" borderId="21" xfId="1" applyFont="1" applyFill="1" applyBorder="1" applyAlignment="1">
      <alignment horizontal="right" vertical="top"/>
    </xf>
    <xf numFmtId="165" fontId="3" fillId="5" borderId="21" xfId="1" applyNumberFormat="1" applyFont="1" applyFill="1" applyBorder="1" applyAlignment="1">
      <alignment horizontal="right" vertical="top"/>
    </xf>
    <xf numFmtId="43" fontId="3" fillId="0" borderId="21" xfId="1" applyFont="1" applyBorder="1" applyAlignment="1">
      <alignment horizontal="right" vertical="top"/>
    </xf>
    <xf numFmtId="165" fontId="3" fillId="0" borderId="21" xfId="1" applyNumberFormat="1" applyFont="1" applyBorder="1" applyAlignment="1">
      <alignment horizontal="right" vertical="top"/>
    </xf>
    <xf numFmtId="0" fontId="3" fillId="5" borderId="21" xfId="0" applyFont="1" applyFill="1" applyBorder="1" applyAlignment="1">
      <alignment horizontal="left" vertical="top"/>
    </xf>
    <xf numFmtId="165" fontId="3" fillId="2" borderId="21" xfId="0" applyNumberFormat="1" applyFont="1" applyFill="1" applyBorder="1" applyAlignment="1">
      <alignment horizontal="right" vertical="top"/>
    </xf>
    <xf numFmtId="0" fontId="3" fillId="2" borderId="21" xfId="0" applyFont="1" applyFill="1" applyBorder="1" applyAlignment="1">
      <alignment horizontal="right" vertical="top"/>
    </xf>
    <xf numFmtId="0" fontId="3" fillId="5" borderId="21" xfId="0" quotePrefix="1" applyFont="1" applyFill="1" applyBorder="1" applyAlignment="1">
      <alignment horizontal="right" vertical="top" wrapText="1"/>
    </xf>
    <xf numFmtId="43" fontId="45" fillId="0" borderId="21" xfId="1" applyFont="1" applyBorder="1"/>
    <xf numFmtId="43" fontId="3" fillId="16" borderId="21" xfId="0" applyNumberFormat="1" applyFont="1" applyFill="1" applyBorder="1"/>
    <xf numFmtId="11" fontId="3" fillId="16" borderId="21" xfId="1" applyNumberFormat="1" applyFont="1" applyFill="1" applyBorder="1"/>
    <xf numFmtId="43" fontId="3" fillId="0" borderId="31" xfId="1" applyFont="1" applyBorder="1"/>
    <xf numFmtId="43" fontId="3" fillId="0" borderId="32" xfId="1" applyFont="1" applyBorder="1"/>
    <xf numFmtId="43" fontId="0" fillId="0" borderId="34" xfId="1" applyFont="1" applyBorder="1"/>
    <xf numFmtId="165" fontId="3" fillId="16" borderId="1" xfId="1" applyNumberFormat="1" applyFont="1" applyFill="1" applyBorder="1"/>
    <xf numFmtId="0" fontId="3" fillId="0" borderId="21" xfId="0" applyFont="1" applyFill="1" applyBorder="1"/>
    <xf numFmtId="0" fontId="3" fillId="0" borderId="21" xfId="0" applyFont="1" applyFill="1" applyBorder="1" applyAlignment="1">
      <alignment horizontal="right"/>
    </xf>
    <xf numFmtId="166" fontId="0" fillId="0" borderId="22" xfId="0" applyNumberFormat="1" applyBorder="1" applyAlignment="1">
      <alignment horizontal="right"/>
    </xf>
    <xf numFmtId="166" fontId="0" fillId="0" borderId="22" xfId="0" applyNumberFormat="1" applyBorder="1"/>
    <xf numFmtId="166" fontId="3" fillId="16" borderId="22" xfId="0" applyNumberFormat="1" applyFont="1" applyFill="1" applyBorder="1"/>
    <xf numFmtId="166" fontId="0" fillId="23" borderId="23" xfId="1" applyNumberFormat="1" applyFont="1" applyFill="1" applyBorder="1"/>
    <xf numFmtId="166" fontId="3" fillId="0" borderId="23" xfId="1" applyNumberFormat="1" applyFont="1" applyBorder="1"/>
    <xf numFmtId="166" fontId="0" fillId="0" borderId="1" xfId="1" applyNumberFormat="1" applyFont="1" applyBorder="1"/>
    <xf numFmtId="11" fontId="0" fillId="0" borderId="22" xfId="0" applyNumberFormat="1" applyBorder="1" applyAlignment="1">
      <alignment horizontal="right"/>
    </xf>
    <xf numFmtId="166" fontId="0" fillId="23" borderId="22" xfId="1" applyNumberFormat="1" applyFont="1" applyFill="1" applyBorder="1" applyAlignment="1">
      <alignment horizontal="right"/>
    </xf>
    <xf numFmtId="0" fontId="0" fillId="0" borderId="22" xfId="0" applyFont="1" applyBorder="1"/>
    <xf numFmtId="0" fontId="3" fillId="0" borderId="26" xfId="0" applyFont="1" applyBorder="1" applyAlignment="1">
      <alignment horizontal="right"/>
    </xf>
    <xf numFmtId="0" fontId="3" fillId="0" borderId="24" xfId="0" applyFont="1" applyBorder="1"/>
    <xf numFmtId="43" fontId="3" fillId="16" borderId="22" xfId="1" applyFont="1" applyFill="1" applyBorder="1"/>
    <xf numFmtId="0" fontId="39" fillId="0" borderId="22" xfId="0" applyFont="1" applyBorder="1"/>
    <xf numFmtId="11" fontId="39" fillId="0" borderId="22" xfId="0" applyNumberFormat="1" applyFont="1" applyBorder="1"/>
    <xf numFmtId="0" fontId="53" fillId="0" borderId="22" xfId="0" applyFont="1" applyBorder="1"/>
    <xf numFmtId="11" fontId="53" fillId="0" borderId="22" xfId="0" applyNumberFormat="1" applyFont="1" applyBorder="1"/>
    <xf numFmtId="166" fontId="53" fillId="0" borderId="22" xfId="1" applyNumberFormat="1" applyFont="1" applyBorder="1"/>
    <xf numFmtId="0" fontId="54" fillId="0" borderId="22" xfId="0" applyFont="1" applyBorder="1"/>
    <xf numFmtId="0" fontId="3" fillId="13" borderId="22" xfId="0" applyFont="1" applyFill="1" applyBorder="1"/>
    <xf numFmtId="0" fontId="0" fillId="13" borderId="22" xfId="0" applyFill="1" applyBorder="1"/>
    <xf numFmtId="0" fontId="3" fillId="13" borderId="22" xfId="0" applyFont="1" applyFill="1" applyBorder="1" applyAlignment="1">
      <alignment horizontal="right"/>
    </xf>
    <xf numFmtId="11" fontId="3" fillId="13" borderId="22" xfId="0" applyNumberFormat="1" applyFont="1" applyFill="1" applyBorder="1" applyAlignment="1">
      <alignment horizontal="right"/>
    </xf>
    <xf numFmtId="0" fontId="3" fillId="13" borderId="23" xfId="0" applyFont="1" applyFill="1" applyBorder="1" applyAlignment="1">
      <alignment horizontal="right"/>
    </xf>
    <xf numFmtId="0" fontId="3" fillId="13" borderId="27" xfId="0" applyFont="1" applyFill="1" applyBorder="1" applyAlignment="1">
      <alignment horizontal="center"/>
    </xf>
    <xf numFmtId="11" fontId="5" fillId="20" borderId="22" xfId="0" applyNumberFormat="1" applyFont="1" applyFill="1" applyBorder="1" applyAlignment="1">
      <alignment horizontal="right" vertical="top"/>
    </xf>
    <xf numFmtId="11" fontId="8" fillId="20" borderId="22" xfId="0" applyNumberFormat="1" applyFont="1" applyFill="1" applyBorder="1" applyAlignment="1">
      <alignment horizontal="right"/>
    </xf>
    <xf numFmtId="11" fontId="39" fillId="0" borderId="0" xfId="0" applyNumberFormat="1" applyFont="1"/>
    <xf numFmtId="11" fontId="5" fillId="0" borderId="0" xfId="0" applyNumberFormat="1" applyFont="1" applyFill="1"/>
    <xf numFmtId="168" fontId="5" fillId="20" borderId="22" xfId="1" applyNumberFormat="1" applyFont="1" applyFill="1" applyBorder="1" applyAlignment="1">
      <alignment horizontal="right" vertical="top"/>
    </xf>
    <xf numFmtId="168" fontId="8" fillId="20" borderId="22" xfId="1" applyNumberFormat="1" applyFont="1" applyFill="1" applyBorder="1" applyAlignment="1">
      <alignment horizontal="right"/>
    </xf>
    <xf numFmtId="168" fontId="39" fillId="0" borderId="0" xfId="1" applyNumberFormat="1" applyFont="1"/>
    <xf numFmtId="168" fontId="5" fillId="0" borderId="0" xfId="1" applyNumberFormat="1" applyFont="1"/>
    <xf numFmtId="168" fontId="5" fillId="0" borderId="0" xfId="1" applyNumberFormat="1" applyFont="1" applyFill="1"/>
    <xf numFmtId="165" fontId="2" fillId="9" borderId="36" xfId="1" applyNumberFormat="1" applyFont="1" applyFill="1" applyBorder="1" applyAlignment="1">
      <alignment horizontal="right" vertical="center"/>
    </xf>
    <xf numFmtId="165" fontId="3" fillId="0" borderId="31" xfId="1" applyNumberFormat="1" applyFont="1" applyBorder="1"/>
    <xf numFmtId="168" fontId="0" fillId="0" borderId="32" xfId="1" applyNumberFormat="1" applyFont="1" applyBorder="1" applyAlignment="1">
      <alignment horizontal="right"/>
    </xf>
    <xf numFmtId="43" fontId="0" fillId="0" borderId="33" xfId="1" applyFont="1" applyBorder="1"/>
    <xf numFmtId="0" fontId="0" fillId="0" borderId="33" xfId="0" applyBorder="1"/>
    <xf numFmtId="0" fontId="55" fillId="0" borderId="22" xfId="0" applyFont="1" applyBorder="1" applyAlignment="1">
      <alignment vertical="center"/>
    </xf>
    <xf numFmtId="0" fontId="56" fillId="0" borderId="22" xfId="0" applyFont="1" applyBorder="1" applyAlignment="1">
      <alignment vertical="center"/>
    </xf>
    <xf numFmtId="0" fontId="56" fillId="0" borderId="22" xfId="0" applyFont="1" applyFill="1" applyBorder="1" applyAlignment="1">
      <alignment vertical="center"/>
    </xf>
    <xf numFmtId="0" fontId="55" fillId="0" borderId="21" xfId="0" applyFont="1" applyBorder="1" applyAlignment="1">
      <alignment vertical="center"/>
    </xf>
    <xf numFmtId="0" fontId="0" fillId="0" borderId="29" xfId="0" applyBorder="1"/>
    <xf numFmtId="0" fontId="0" fillId="0" borderId="30" xfId="0" applyBorder="1"/>
    <xf numFmtId="166" fontId="1" fillId="0" borderId="21" xfId="1" applyNumberFormat="1" applyFont="1" applyBorder="1"/>
    <xf numFmtId="10" fontId="0" fillId="0" borderId="22" xfId="2" applyNumberFormat="1" applyFont="1" applyBorder="1"/>
    <xf numFmtId="166" fontId="0" fillId="0" borderId="31" xfId="0" applyNumberFormat="1" applyFont="1" applyBorder="1" applyAlignment="1">
      <alignment horizontal="right"/>
    </xf>
    <xf numFmtId="43" fontId="3" fillId="16" borderId="1" xfId="1" applyFont="1" applyFill="1" applyBorder="1"/>
    <xf numFmtId="0" fontId="0" fillId="0" borderId="0" xfId="0" applyBorder="1"/>
    <xf numFmtId="166" fontId="0" fillId="0" borderId="0" xfId="0" applyNumberFormat="1" applyFont="1" applyBorder="1" applyAlignment="1">
      <alignment horizontal="right"/>
    </xf>
    <xf numFmtId="0" fontId="3" fillId="0" borderId="34" xfId="0" applyFont="1" applyBorder="1"/>
    <xf numFmtId="43" fontId="41" fillId="0" borderId="46" xfId="1" applyFont="1" applyBorder="1" applyAlignment="1">
      <alignment horizontal="right" vertical="top" wrapText="1"/>
    </xf>
    <xf numFmtId="166" fontId="52" fillId="0" borderId="47" xfId="0" applyNumberFormat="1" applyFont="1" applyBorder="1"/>
    <xf numFmtId="172" fontId="52" fillId="0" borderId="47" xfId="0" applyNumberFormat="1" applyFont="1" applyBorder="1"/>
    <xf numFmtId="166" fontId="52" fillId="0" borderId="48" xfId="0" applyNumberFormat="1" applyFont="1" applyBorder="1"/>
    <xf numFmtId="43" fontId="3" fillId="5" borderId="21" xfId="1" applyFont="1" applyFill="1" applyBorder="1" applyAlignment="1">
      <alignment horizontal="right"/>
    </xf>
    <xf numFmtId="166" fontId="3" fillId="0" borderId="22" xfId="1" applyNumberFormat="1" applyFont="1" applyBorder="1"/>
    <xf numFmtId="43" fontId="0" fillId="16" borderId="21" xfId="1" applyFont="1" applyFill="1" applyBorder="1" applyAlignment="1">
      <alignment vertical="center"/>
    </xf>
    <xf numFmtId="0" fontId="0" fillId="0" borderId="21" xfId="0" applyFill="1" applyBorder="1" applyAlignment="1">
      <alignment horizontal="right"/>
    </xf>
    <xf numFmtId="165" fontId="0" fillId="0" borderId="21" xfId="0" applyNumberFormat="1" applyFill="1" applyBorder="1" applyAlignment="1">
      <alignment horizontal="right"/>
    </xf>
    <xf numFmtId="43" fontId="0" fillId="0" borderId="21" xfId="1" applyFont="1" applyFill="1" applyBorder="1" applyAlignment="1">
      <alignment horizontal="center"/>
    </xf>
    <xf numFmtId="11" fontId="0" fillId="0" borderId="21" xfId="1" applyNumberFormat="1" applyFont="1" applyFill="1" applyBorder="1" applyAlignment="1">
      <alignment horizontal="right"/>
    </xf>
    <xf numFmtId="43" fontId="0" fillId="0" borderId="21" xfId="0" applyNumberFormat="1" applyFill="1" applyBorder="1" applyAlignment="1">
      <alignment horizontal="center"/>
    </xf>
    <xf numFmtId="166" fontId="0" fillId="0" borderId="21" xfId="5" applyNumberFormat="1" applyFont="1" applyFill="1" applyBorder="1"/>
    <xf numFmtId="165" fontId="0" fillId="0" borderId="21" xfId="5" applyNumberFormat="1" applyFont="1" applyFill="1" applyBorder="1"/>
    <xf numFmtId="11" fontId="0" fillId="0" borderId="21" xfId="5" applyNumberFormat="1" applyFont="1" applyFill="1" applyBorder="1"/>
    <xf numFmtId="43" fontId="0" fillId="0" borderId="21" xfId="5" applyFont="1" applyFill="1" applyBorder="1"/>
    <xf numFmtId="43" fontId="0" fillId="0" borderId="21" xfId="5" applyFont="1" applyFill="1" applyBorder="1" applyAlignment="1">
      <alignment horizontal="right"/>
    </xf>
    <xf numFmtId="166" fontId="0" fillId="0" borderId="21" xfId="5" applyNumberFormat="1" applyFont="1" applyFill="1" applyBorder="1" applyAlignment="1">
      <alignment horizontal="right"/>
    </xf>
    <xf numFmtId="165" fontId="0" fillId="0" borderId="21" xfId="1" applyNumberFormat="1" applyFont="1" applyFill="1" applyBorder="1"/>
    <xf numFmtId="0" fontId="57" fillId="2" borderId="0" xfId="0" applyFont="1" applyFill="1" applyAlignment="1">
      <alignment vertical="top"/>
    </xf>
    <xf numFmtId="11" fontId="3" fillId="0" borderId="21" xfId="1" applyNumberFormat="1" applyFont="1" applyBorder="1" applyAlignment="1">
      <alignment horizontal="right"/>
    </xf>
    <xf numFmtId="0" fontId="3" fillId="22" borderId="21" xfId="0" applyFont="1" applyFill="1" applyBorder="1" applyAlignment="1">
      <alignment horizontal="right"/>
    </xf>
    <xf numFmtId="0" fontId="3" fillId="5" borderId="21" xfId="0" applyFont="1" applyFill="1" applyBorder="1" applyAlignment="1">
      <alignment horizontal="right"/>
    </xf>
    <xf numFmtId="43" fontId="3" fillId="5" borderId="21" xfId="1" applyFont="1" applyFill="1" applyBorder="1" applyAlignment="1">
      <alignment horizontal="center"/>
    </xf>
    <xf numFmtId="0" fontId="3" fillId="5" borderId="21" xfId="0" applyFont="1" applyFill="1" applyBorder="1"/>
    <xf numFmtId="0" fontId="0" fillId="5" borderId="21" xfId="0" applyFill="1" applyBorder="1"/>
    <xf numFmtId="165" fontId="3" fillId="0" borderId="31" xfId="0" applyNumberFormat="1" applyFont="1" applyBorder="1" applyAlignment="1">
      <alignment horizontal="right"/>
    </xf>
    <xf numFmtId="167" fontId="3" fillId="0" borderId="32" xfId="0" applyNumberFormat="1" applyFont="1" applyFill="1" applyBorder="1"/>
    <xf numFmtId="166" fontId="3" fillId="0" borderId="33" xfId="1" applyNumberFormat="1" applyFont="1" applyBorder="1"/>
    <xf numFmtId="169" fontId="0" fillId="0" borderId="1" xfId="2" applyNumberFormat="1" applyFont="1" applyBorder="1"/>
    <xf numFmtId="10" fontId="1" fillId="0" borderId="49" xfId="2" applyNumberFormat="1" applyFont="1" applyBorder="1"/>
    <xf numFmtId="0" fontId="4" fillId="9" borderId="21" xfId="0" applyFont="1" applyFill="1" applyBorder="1"/>
    <xf numFmtId="11" fontId="4" fillId="9" borderId="21" xfId="0" applyNumberFormat="1" applyFont="1" applyFill="1" applyBorder="1"/>
    <xf numFmtId="0" fontId="2" fillId="9" borderId="21" xfId="0" applyFont="1" applyFill="1" applyBorder="1"/>
    <xf numFmtId="0" fontId="3" fillId="22" borderId="32" xfId="0" applyFont="1" applyFill="1" applyBorder="1" applyAlignment="1">
      <alignment horizontal="right"/>
    </xf>
    <xf numFmtId="43" fontId="0" fillId="0" borderId="21" xfId="1" applyFont="1" applyFill="1" applyBorder="1"/>
    <xf numFmtId="10" fontId="1" fillId="0" borderId="0" xfId="2" applyNumberFormat="1" applyFont="1" applyBorder="1"/>
    <xf numFmtId="43" fontId="3" fillId="14" borderId="21" xfId="1" applyFont="1" applyFill="1" applyBorder="1" applyAlignment="1">
      <alignment horizontal="center" vertical="top" wrapText="1"/>
    </xf>
    <xf numFmtId="0" fontId="2" fillId="9" borderId="4" xfId="0" applyFont="1" applyFill="1" applyBorder="1" applyAlignment="1">
      <alignment horizontal="left" vertical="center"/>
    </xf>
    <xf numFmtId="11" fontId="1" fillId="0" borderId="21" xfId="1" applyNumberFormat="1" applyFont="1" applyBorder="1" applyAlignment="1">
      <alignment horizontal="right"/>
    </xf>
    <xf numFmtId="0" fontId="3" fillId="13" borderId="22" xfId="0" applyFont="1" applyFill="1" applyBorder="1" applyAlignment="1">
      <alignment horizontal="center"/>
    </xf>
    <xf numFmtId="0" fontId="0" fillId="18" borderId="22" xfId="0" applyFill="1" applyBorder="1" applyAlignment="1">
      <alignment horizontal="center"/>
    </xf>
    <xf numFmtId="166" fontId="0" fillId="0" borderId="23" xfId="1" applyNumberFormat="1" applyFont="1" applyFill="1" applyBorder="1"/>
    <xf numFmtId="0" fontId="3" fillId="0" borderId="22" xfId="0" applyFont="1" applyFill="1" applyBorder="1" applyAlignment="1">
      <alignment horizontal="right"/>
    </xf>
    <xf numFmtId="0" fontId="3" fillId="5" borderId="31" xfId="0" applyFont="1" applyFill="1" applyBorder="1" applyAlignment="1">
      <alignment vertical="top" wrapText="1"/>
    </xf>
    <xf numFmtId="0" fontId="3" fillId="5" borderId="32" xfId="0" applyFont="1" applyFill="1" applyBorder="1" applyAlignment="1">
      <alignment horizontal="center" vertical="top" wrapText="1"/>
    </xf>
    <xf numFmtId="0" fontId="27" fillId="0" borderId="33" xfId="0" applyFont="1" applyBorder="1" applyAlignment="1"/>
    <xf numFmtId="0" fontId="3" fillId="5" borderId="49" xfId="0" applyFont="1" applyFill="1" applyBorder="1" applyAlignment="1">
      <alignment vertical="top" wrapText="1"/>
    </xf>
    <xf numFmtId="0" fontId="28" fillId="0" borderId="21" xfId="0" applyFont="1" applyBorder="1" applyAlignment="1">
      <alignment horizontal="center"/>
    </xf>
    <xf numFmtId="0" fontId="0" fillId="0" borderId="21" xfId="0" applyBorder="1" applyAlignment="1">
      <alignment horizontal="center" vertical="top" wrapText="1"/>
    </xf>
    <xf numFmtId="0" fontId="0" fillId="0" borderId="21" xfId="0" applyFont="1" applyBorder="1" applyAlignment="1">
      <alignment horizontal="center"/>
    </xf>
    <xf numFmtId="0" fontId="0" fillId="0" borderId="21" xfId="0" applyFont="1" applyFill="1" applyBorder="1" applyAlignment="1">
      <alignment horizontal="center"/>
    </xf>
    <xf numFmtId="0" fontId="3" fillId="0" borderId="21" xfId="0" applyFont="1" applyBorder="1" applyAlignment="1">
      <alignment horizontal="center" vertical="top"/>
    </xf>
    <xf numFmtId="0" fontId="0" fillId="0" borderId="21" xfId="0" applyFont="1" applyBorder="1" applyAlignment="1">
      <alignment vertical="center" wrapText="1"/>
    </xf>
    <xf numFmtId="0" fontId="33" fillId="0" borderId="21" xfId="0" applyFont="1" applyBorder="1"/>
    <xf numFmtId="0" fontId="0" fillId="0" borderId="22" xfId="0" applyFill="1" applyBorder="1" applyAlignment="1">
      <alignment horizontal="right"/>
    </xf>
    <xf numFmtId="43" fontId="0" fillId="0" borderId="22" xfId="1" applyFont="1" applyBorder="1" applyAlignment="1">
      <alignment horizontal="right"/>
    </xf>
    <xf numFmtId="0" fontId="58" fillId="0" borderId="21" xfId="0" applyFont="1" applyBorder="1"/>
    <xf numFmtId="0" fontId="58" fillId="0" borderId="21" xfId="0" applyFont="1" applyBorder="1" applyAlignment="1">
      <alignment horizontal="center"/>
    </xf>
    <xf numFmtId="0" fontId="58" fillId="0" borderId="21" xfId="0" applyFont="1" applyBorder="1" applyAlignment="1">
      <alignment horizontal="right"/>
    </xf>
    <xf numFmtId="165" fontId="58" fillId="0" borderId="21" xfId="0" applyNumberFormat="1" applyFont="1" applyBorder="1" applyAlignment="1">
      <alignment horizontal="right"/>
    </xf>
    <xf numFmtId="43" fontId="58" fillId="0" borderId="21" xfId="1" applyFont="1" applyBorder="1" applyAlignment="1">
      <alignment horizontal="center"/>
    </xf>
    <xf numFmtId="11" fontId="58" fillId="0" borderId="21" xfId="1" applyNumberFormat="1" applyFont="1" applyBorder="1" applyAlignment="1">
      <alignment horizontal="right"/>
    </xf>
    <xf numFmtId="43" fontId="58" fillId="0" borderId="21" xfId="0" applyNumberFormat="1" applyFont="1" applyBorder="1" applyAlignment="1">
      <alignment horizontal="center"/>
    </xf>
    <xf numFmtId="166" fontId="58" fillId="0" borderId="21" xfId="5" applyNumberFormat="1" applyFont="1" applyBorder="1"/>
    <xf numFmtId="165" fontId="58" fillId="0" borderId="21" xfId="5" applyNumberFormat="1" applyFont="1" applyBorder="1"/>
    <xf numFmtId="11" fontId="58" fillId="0" borderId="21" xfId="5" applyNumberFormat="1" applyFont="1" applyBorder="1"/>
    <xf numFmtId="43" fontId="58" fillId="0" borderId="21" xfId="5" applyFont="1" applyBorder="1"/>
    <xf numFmtId="43" fontId="58" fillId="0" borderId="21" xfId="5" applyFont="1" applyBorder="1" applyAlignment="1">
      <alignment horizontal="right"/>
    </xf>
    <xf numFmtId="166" fontId="58" fillId="0" borderId="21" xfId="5" applyNumberFormat="1" applyFont="1" applyBorder="1" applyAlignment="1">
      <alignment horizontal="right"/>
    </xf>
    <xf numFmtId="165" fontId="58" fillId="0" borderId="21" xfId="1" applyNumberFormat="1" applyFont="1" applyBorder="1"/>
    <xf numFmtId="0" fontId="0" fillId="0" borderId="0" xfId="0" applyFont="1" applyAlignment="1">
      <alignment horizontal="left" vertical="center"/>
    </xf>
    <xf numFmtId="168" fontId="59" fillId="0" borderId="32" xfId="1" applyNumberFormat="1" applyFont="1" applyBorder="1" applyAlignment="1">
      <alignment horizontal="left"/>
    </xf>
    <xf numFmtId="0" fontId="33" fillId="0" borderId="21" xfId="0" applyFont="1" applyFill="1" applyBorder="1"/>
    <xf numFmtId="0" fontId="61" fillId="0" borderId="21" xfId="0" applyFont="1" applyBorder="1"/>
    <xf numFmtId="0" fontId="2" fillId="9" borderId="4" xfId="0" applyFont="1" applyFill="1" applyBorder="1" applyAlignment="1">
      <alignment horizontal="center" vertical="center"/>
    </xf>
    <xf numFmtId="0" fontId="3" fillId="19" borderId="21" xfId="0" applyFont="1" applyFill="1" applyBorder="1" applyAlignment="1">
      <alignment horizontal="center" vertical="top" wrapText="1"/>
    </xf>
    <xf numFmtId="11" fontId="3" fillId="16" borderId="21" xfId="0" applyNumberFormat="1" applyFont="1" applyFill="1" applyBorder="1"/>
    <xf numFmtId="43" fontId="0" fillId="5" borderId="31" xfId="1" applyFont="1" applyFill="1" applyBorder="1"/>
    <xf numFmtId="43" fontId="1" fillId="0" borderId="31" xfId="1" applyFont="1" applyBorder="1"/>
    <xf numFmtId="43" fontId="1" fillId="0" borderId="51" xfId="1" applyFont="1" applyBorder="1"/>
    <xf numFmtId="0" fontId="3" fillId="0" borderId="31" xfId="0" applyFont="1" applyBorder="1"/>
    <xf numFmtId="165" fontId="0" fillId="5" borderId="52" xfId="1" applyNumberFormat="1" applyFont="1" applyFill="1" applyBorder="1"/>
    <xf numFmtId="165" fontId="1" fillId="0" borderId="52" xfId="1" applyNumberFormat="1" applyFont="1" applyBorder="1"/>
    <xf numFmtId="165" fontId="3" fillId="0" borderId="52" xfId="1" applyNumberFormat="1" applyFont="1" applyBorder="1"/>
    <xf numFmtId="0" fontId="3" fillId="0" borderId="53" xfId="0" applyFont="1" applyBorder="1"/>
    <xf numFmtId="43" fontId="3" fillId="0" borderId="34" xfId="1" applyFont="1" applyBorder="1"/>
    <xf numFmtId="43" fontId="3" fillId="22" borderId="54" xfId="1" applyFont="1" applyFill="1" applyBorder="1" applyAlignment="1">
      <alignment horizontal="right"/>
    </xf>
    <xf numFmtId="43" fontId="3" fillId="22" borderId="55" xfId="1" applyFont="1" applyFill="1" applyBorder="1" applyAlignment="1">
      <alignment horizontal="right"/>
    </xf>
    <xf numFmtId="166" fontId="1" fillId="0" borderId="57" xfId="1" applyNumberFormat="1" applyFont="1" applyBorder="1"/>
    <xf numFmtId="166" fontId="1" fillId="0" borderId="59" xfId="1" applyNumberFormat="1" applyFont="1" applyBorder="1"/>
    <xf numFmtId="9" fontId="3" fillId="0" borderId="60" xfId="2" applyFont="1" applyBorder="1"/>
    <xf numFmtId="166" fontId="3" fillId="0" borderId="61" xfId="1" applyNumberFormat="1" applyFont="1" applyBorder="1"/>
    <xf numFmtId="0" fontId="0" fillId="0" borderId="22" xfId="0" applyFont="1" applyFill="1" applyBorder="1" applyAlignment="1">
      <alignment horizontal="right"/>
    </xf>
    <xf numFmtId="0" fontId="62" fillId="0" borderId="22" xfId="0" applyFont="1" applyBorder="1"/>
    <xf numFmtId="166" fontId="0" fillId="23" borderId="22" xfId="1" applyNumberFormat="1" applyFont="1" applyFill="1" applyBorder="1"/>
    <xf numFmtId="0" fontId="3" fillId="13" borderId="22" xfId="0" applyFont="1" applyFill="1" applyBorder="1" applyAlignment="1">
      <alignment horizontal="left"/>
    </xf>
    <xf numFmtId="0" fontId="12" fillId="0" borderId="22" xfId="0" applyFont="1" applyFill="1" applyBorder="1" applyAlignment="1">
      <alignment horizontal="center" vertical="center" wrapText="1"/>
    </xf>
    <xf numFmtId="0" fontId="12" fillId="13" borderId="22" xfId="0" applyFont="1" applyFill="1" applyBorder="1" applyAlignment="1">
      <alignment horizontal="center" vertical="center" wrapText="1"/>
    </xf>
    <xf numFmtId="0" fontId="3" fillId="13" borderId="22" xfId="0" applyFont="1" applyFill="1" applyBorder="1" applyAlignment="1">
      <alignment horizontal="left" vertical="center" wrapText="1"/>
    </xf>
    <xf numFmtId="0" fontId="5" fillId="0" borderId="22" xfId="0" applyFont="1" applyFill="1" applyBorder="1" applyAlignment="1">
      <alignment vertical="center" wrapText="1"/>
    </xf>
    <xf numFmtId="0" fontId="3" fillId="0" borderId="22" xfId="0" applyFont="1" applyFill="1" applyBorder="1" applyAlignment="1">
      <alignment horizontal="left" vertical="center" wrapText="1"/>
    </xf>
    <xf numFmtId="0" fontId="3" fillId="13" borderId="22" xfId="0" applyFont="1" applyFill="1" applyBorder="1" applyAlignment="1">
      <alignment horizontal="right" vertical="center" wrapText="1"/>
    </xf>
    <xf numFmtId="0" fontId="0" fillId="13" borderId="22" xfId="0" applyFont="1" applyFill="1" applyBorder="1" applyAlignment="1">
      <alignment horizontal="right" vertical="center" wrapText="1"/>
    </xf>
    <xf numFmtId="11" fontId="0" fillId="13" borderId="22" xfId="0" applyNumberFormat="1" applyFont="1" applyFill="1" applyBorder="1" applyAlignment="1">
      <alignment horizontal="right" vertical="center" wrapText="1"/>
    </xf>
    <xf numFmtId="166" fontId="3" fillId="16" borderId="22" xfId="1" applyNumberFormat="1" applyFont="1" applyFill="1" applyBorder="1" applyAlignment="1">
      <alignment horizontal="right"/>
    </xf>
    <xf numFmtId="0" fontId="0" fillId="0" borderId="22" xfId="0" applyFont="1" applyFill="1" applyBorder="1" applyAlignment="1">
      <alignment horizontal="right" vertical="center" wrapText="1"/>
    </xf>
    <xf numFmtId="0" fontId="0" fillId="0" borderId="26" xfId="0" applyFont="1" applyFill="1" applyBorder="1" applyAlignment="1">
      <alignment horizontal="right"/>
    </xf>
    <xf numFmtId="165" fontId="0" fillId="0" borderId="32" xfId="1" applyNumberFormat="1" applyFont="1" applyBorder="1"/>
    <xf numFmtId="0" fontId="0" fillId="0" borderId="62" xfId="0" applyFont="1" applyBorder="1" applyAlignment="1">
      <alignment horizontal="left"/>
    </xf>
    <xf numFmtId="0" fontId="3" fillId="0" borderId="33" xfId="0" applyFont="1" applyBorder="1" applyAlignment="1">
      <alignment horizontal="right"/>
    </xf>
    <xf numFmtId="43" fontId="3" fillId="22" borderId="63" xfId="1" applyFont="1" applyFill="1" applyBorder="1"/>
    <xf numFmtId="43" fontId="0" fillId="22" borderId="64" xfId="1" applyFont="1" applyFill="1" applyBorder="1"/>
    <xf numFmtId="0" fontId="3" fillId="0" borderId="21" xfId="0" applyFont="1" applyFill="1" applyBorder="1" applyAlignment="1">
      <alignment horizontal="center"/>
    </xf>
    <xf numFmtId="165" fontId="3" fillId="0" borderId="21" xfId="0" applyNumberFormat="1" applyFont="1" applyFill="1" applyBorder="1" applyAlignment="1">
      <alignment horizontal="right"/>
    </xf>
    <xf numFmtId="0" fontId="3" fillId="0" borderId="33" xfId="0" applyFont="1" applyFill="1" applyBorder="1"/>
    <xf numFmtId="11" fontId="3" fillId="0" borderId="21" xfId="0" applyNumberFormat="1" applyFont="1" applyFill="1" applyBorder="1"/>
    <xf numFmtId="168" fontId="3" fillId="0" borderId="21" xfId="1" applyNumberFormat="1" applyFont="1" applyFill="1" applyBorder="1"/>
    <xf numFmtId="165" fontId="3" fillId="0" borderId="21" xfId="1" applyNumberFormat="1" applyFont="1" applyFill="1" applyBorder="1"/>
    <xf numFmtId="0" fontId="3" fillId="0" borderId="0" xfId="0" applyFont="1" applyBorder="1"/>
    <xf numFmtId="0" fontId="3" fillId="0" borderId="24" xfId="0" applyFont="1" applyBorder="1" applyAlignment="1">
      <alignment horizontal="center"/>
    </xf>
    <xf numFmtId="43" fontId="3" fillId="16" borderId="22" xfId="1" applyNumberFormat="1" applyFont="1" applyFill="1" applyBorder="1"/>
    <xf numFmtId="43" fontId="3" fillId="16" borderId="21" xfId="1" applyFont="1" applyFill="1" applyBorder="1"/>
    <xf numFmtId="173" fontId="3" fillId="16" borderId="33" xfId="0" applyNumberFormat="1" applyFont="1" applyFill="1" applyBorder="1"/>
    <xf numFmtId="170" fontId="3" fillId="16" borderId="33" xfId="0" applyNumberFormat="1" applyFont="1" applyFill="1" applyBorder="1"/>
    <xf numFmtId="11" fontId="3" fillId="16" borderId="22" xfId="1" applyNumberFormat="1" applyFont="1" applyFill="1" applyBorder="1" applyAlignment="1">
      <alignment horizontal="right"/>
    </xf>
    <xf numFmtId="11" fontId="0" fillId="0" borderId="0" xfId="0" applyNumberFormat="1"/>
    <xf numFmtId="174" fontId="0" fillId="0" borderId="0" xfId="1" applyNumberFormat="1" applyFont="1"/>
    <xf numFmtId="43" fontId="3" fillId="0" borderId="22" xfId="0" applyNumberFormat="1" applyFont="1" applyBorder="1" applyAlignment="1">
      <alignment horizontal="right"/>
    </xf>
    <xf numFmtId="11" fontId="3" fillId="0" borderId="22" xfId="0" applyNumberFormat="1" applyFont="1" applyBorder="1" applyAlignment="1">
      <alignment horizontal="right"/>
    </xf>
    <xf numFmtId="0" fontId="38" fillId="13" borderId="22" xfId="0" applyFont="1" applyFill="1" applyBorder="1" applyAlignment="1">
      <alignment horizontal="right" vertical="top" wrapText="1"/>
    </xf>
    <xf numFmtId="0" fontId="3" fillId="0" borderId="65" xfId="0" applyFont="1" applyFill="1" applyBorder="1"/>
    <xf numFmtId="9" fontId="0" fillId="23" borderId="22" xfId="0" applyNumberFormat="1" applyFill="1" applyBorder="1"/>
    <xf numFmtId="0" fontId="3" fillId="11" borderId="21" xfId="0" applyFont="1" applyFill="1" applyBorder="1" applyAlignment="1">
      <alignment horizontal="right"/>
    </xf>
    <xf numFmtId="43" fontId="0" fillId="0" borderId="21" xfId="0" applyNumberFormat="1" applyBorder="1"/>
    <xf numFmtId="166" fontId="0" fillId="0" borderId="21" xfId="0" applyNumberFormat="1" applyBorder="1"/>
    <xf numFmtId="166" fontId="3" fillId="0" borderId="21" xfId="0" applyNumberFormat="1" applyFont="1" applyBorder="1"/>
    <xf numFmtId="166" fontId="0" fillId="0" borderId="21" xfId="1" applyNumberFormat="1" applyFont="1" applyBorder="1" applyAlignment="1">
      <alignment horizontal="center"/>
    </xf>
    <xf numFmtId="166" fontId="3" fillId="0" borderId="21" xfId="1" applyNumberFormat="1" applyFont="1" applyBorder="1" applyAlignment="1">
      <alignment horizontal="center"/>
    </xf>
    <xf numFmtId="175" fontId="3" fillId="16" borderId="21" xfId="0" applyNumberFormat="1" applyFont="1" applyFill="1" applyBorder="1"/>
    <xf numFmtId="176" fontId="0" fillId="18" borderId="22" xfId="0" applyNumberFormat="1" applyFill="1" applyBorder="1"/>
    <xf numFmtId="166" fontId="3" fillId="0" borderId="22" xfId="0" applyNumberFormat="1" applyFont="1" applyBorder="1"/>
    <xf numFmtId="0" fontId="59" fillId="0" borderId="22" xfId="0" applyFont="1" applyBorder="1"/>
    <xf numFmtId="3" fontId="0" fillId="18" borderId="22" xfId="0" applyNumberFormat="1" applyFill="1" applyBorder="1"/>
    <xf numFmtId="3" fontId="0" fillId="18" borderId="22" xfId="0" applyNumberFormat="1" applyFont="1" applyFill="1" applyBorder="1"/>
    <xf numFmtId="176" fontId="0" fillId="18" borderId="22" xfId="0" applyNumberFormat="1" applyFont="1" applyFill="1" applyBorder="1"/>
    <xf numFmtId="43" fontId="0" fillId="18" borderId="32" xfId="1" applyFont="1" applyFill="1" applyBorder="1" applyAlignment="1">
      <alignment horizontal="right"/>
    </xf>
    <xf numFmtId="166" fontId="1" fillId="18" borderId="56" xfId="1" applyNumberFormat="1" applyFont="1" applyFill="1" applyBorder="1"/>
    <xf numFmtId="166" fontId="1" fillId="18" borderId="58" xfId="1" applyNumberFormat="1" applyFont="1" applyFill="1" applyBorder="1"/>
    <xf numFmtId="43" fontId="0" fillId="18" borderId="21" xfId="1" applyFont="1" applyFill="1" applyBorder="1" applyAlignment="1">
      <alignment horizontal="center" vertical="center"/>
    </xf>
    <xf numFmtId="0" fontId="0" fillId="2" borderId="0" xfId="0" applyFill="1" applyProtection="1"/>
    <xf numFmtId="0" fontId="34" fillId="2" borderId="0" xfId="0" applyFont="1" applyFill="1" applyProtection="1"/>
    <xf numFmtId="0" fontId="34" fillId="2" borderId="0" xfId="0" applyFont="1" applyFill="1" applyAlignment="1" applyProtection="1">
      <alignment horizontal="right"/>
    </xf>
    <xf numFmtId="0" fontId="2" fillId="9" borderId="4" xfId="0" applyFont="1" applyFill="1" applyBorder="1" applyAlignment="1" applyProtection="1">
      <alignment vertical="center"/>
    </xf>
    <xf numFmtId="0" fontId="4" fillId="9" borderId="4" xfId="0" applyFont="1" applyFill="1" applyBorder="1" applyAlignment="1" applyProtection="1">
      <alignment vertical="center"/>
    </xf>
    <xf numFmtId="0" fontId="0" fillId="2" borderId="0" xfId="0" applyFill="1" applyAlignment="1" applyProtection="1">
      <alignment vertical="center"/>
    </xf>
    <xf numFmtId="0" fontId="0" fillId="2" borderId="0" xfId="0" applyFill="1" applyAlignment="1" applyProtection="1">
      <alignment horizontal="center" vertical="center"/>
    </xf>
    <xf numFmtId="0" fontId="0" fillId="2" borderId="0" xfId="0" applyFill="1" applyAlignment="1" applyProtection="1">
      <alignment horizontal="right" vertical="center"/>
    </xf>
    <xf numFmtId="0" fontId="0" fillId="5" borderId="2" xfId="0" applyFill="1" applyBorder="1" applyAlignment="1" applyProtection="1">
      <alignment vertical="center"/>
    </xf>
    <xf numFmtId="0" fontId="0" fillId="5" borderId="3" xfId="0" applyFill="1" applyBorder="1" applyAlignment="1" applyProtection="1">
      <alignment vertical="center"/>
    </xf>
    <xf numFmtId="0" fontId="0" fillId="2" borderId="0" xfId="0" applyFill="1" applyAlignment="1" applyProtection="1">
      <alignment horizontal="left" vertical="center"/>
    </xf>
    <xf numFmtId="166" fontId="0" fillId="5" borderId="1" xfId="0" applyNumberFormat="1" applyFill="1" applyBorder="1" applyAlignment="1" applyProtection="1">
      <alignment vertical="center"/>
    </xf>
    <xf numFmtId="0" fontId="25" fillId="2" borderId="0" xfId="0" applyFont="1" applyFill="1" applyAlignment="1" applyProtection="1"/>
    <xf numFmtId="0" fontId="22" fillId="2" borderId="0" xfId="0" applyFont="1" applyFill="1" applyAlignment="1" applyProtection="1">
      <alignment vertical="center"/>
    </xf>
    <xf numFmtId="0" fontId="12" fillId="2" borderId="0" xfId="0" applyFont="1" applyFill="1" applyProtection="1"/>
    <xf numFmtId="0" fontId="12" fillId="2" borderId="0" xfId="0" applyFont="1" applyFill="1" applyAlignment="1" applyProtection="1">
      <alignment horizontal="center"/>
    </xf>
    <xf numFmtId="0" fontId="3" fillId="2" borderId="0" xfId="0" applyFont="1" applyFill="1" applyProtection="1"/>
    <xf numFmtId="0" fontId="35" fillId="2" borderId="0" xfId="0" applyFont="1" applyFill="1" applyAlignment="1" applyProtection="1">
      <alignment horizontal="right"/>
    </xf>
    <xf numFmtId="0" fontId="0" fillId="2" borderId="50" xfId="0" applyFill="1" applyBorder="1" applyProtection="1"/>
    <xf numFmtId="0" fontId="0" fillId="2" borderId="0" xfId="0" applyFont="1" applyFill="1" applyProtection="1"/>
    <xf numFmtId="0" fontId="0" fillId="2" borderId="0" xfId="0" applyFont="1" applyFill="1" applyAlignment="1" applyProtection="1">
      <alignment vertical="center"/>
    </xf>
    <xf numFmtId="0" fontId="0" fillId="2" borderId="0" xfId="0" quotePrefix="1" applyFont="1" applyFill="1" applyProtection="1"/>
    <xf numFmtId="10" fontId="0" fillId="2" borderId="0" xfId="0" applyNumberFormat="1" applyFont="1" applyFill="1" applyAlignment="1" applyProtection="1">
      <alignment horizontal="left"/>
    </xf>
    <xf numFmtId="0" fontId="35" fillId="2" borderId="0" xfId="0" applyFont="1" applyFill="1" applyProtection="1"/>
    <xf numFmtId="0" fontId="30" fillId="2" borderId="0" xfId="0" quotePrefix="1" applyFont="1" applyFill="1" applyProtection="1"/>
    <xf numFmtId="0" fontId="4" fillId="9" borderId="4" xfId="0" applyFont="1" applyFill="1" applyBorder="1" applyProtection="1"/>
    <xf numFmtId="0" fontId="3" fillId="2" borderId="0" xfId="0" applyFont="1" applyFill="1" applyAlignment="1" applyProtection="1">
      <alignment vertical="center"/>
    </xf>
    <xf numFmtId="0" fontId="3" fillId="2" borderId="0" xfId="0" applyFont="1" applyFill="1" applyAlignment="1" applyProtection="1">
      <alignment horizontal="center" vertical="center" wrapText="1"/>
    </xf>
    <xf numFmtId="169" fontId="0" fillId="2" borderId="0" xfId="0" applyNumberFormat="1" applyFill="1" applyProtection="1"/>
    <xf numFmtId="169" fontId="0" fillId="2" borderId="0" xfId="0" applyNumberFormat="1" applyFill="1" applyAlignment="1" applyProtection="1">
      <alignment horizontal="center" vertical="center"/>
    </xf>
    <xf numFmtId="1" fontId="0" fillId="2" borderId="0" xfId="1" applyNumberFormat="1" applyFont="1" applyFill="1" applyProtection="1"/>
    <xf numFmtId="1" fontId="0" fillId="2" borderId="0" xfId="1" applyNumberFormat="1" applyFont="1" applyFill="1" applyAlignment="1" applyProtection="1">
      <alignment horizontal="center" vertical="center"/>
    </xf>
    <xf numFmtId="0" fontId="2" fillId="9" borderId="4" xfId="0" applyFont="1" applyFill="1" applyBorder="1" applyAlignment="1" applyProtection="1"/>
    <xf numFmtId="43" fontId="0" fillId="2" borderId="0" xfId="1" applyFont="1" applyFill="1" applyProtection="1"/>
    <xf numFmtId="43" fontId="0" fillId="2" borderId="0" xfId="1" applyFont="1" applyFill="1" applyAlignment="1" applyProtection="1">
      <alignment vertical="center"/>
    </xf>
    <xf numFmtId="0" fontId="30" fillId="2" borderId="0" xfId="0" applyFont="1" applyFill="1" applyAlignment="1" applyProtection="1">
      <alignment vertical="center"/>
    </xf>
    <xf numFmtId="0" fontId="0" fillId="2" borderId="0" xfId="0" quotePrefix="1" applyFill="1" applyAlignment="1" applyProtection="1">
      <alignment vertical="center"/>
    </xf>
    <xf numFmtId="166" fontId="33" fillId="2" borderId="1" xfId="1" applyNumberFormat="1" applyFont="1" applyFill="1" applyBorder="1" applyAlignment="1" applyProtection="1">
      <alignment vertical="center"/>
    </xf>
    <xf numFmtId="0" fontId="48" fillId="2" borderId="0" xfId="0" applyFont="1" applyFill="1" applyAlignment="1" applyProtection="1">
      <alignment vertical="center"/>
    </xf>
    <xf numFmtId="166" fontId="0" fillId="2" borderId="1" xfId="0" applyNumberFormat="1" applyFill="1" applyBorder="1" applyAlignment="1" applyProtection="1">
      <alignment vertical="center"/>
    </xf>
    <xf numFmtId="0" fontId="22" fillId="2" borderId="0" xfId="0" applyFont="1" applyFill="1" applyBorder="1" applyAlignment="1" applyProtection="1">
      <alignment vertical="center"/>
    </xf>
    <xf numFmtId="43" fontId="0" fillId="2" borderId="0" xfId="1" applyFont="1" applyFill="1" applyAlignment="1" applyProtection="1">
      <alignment horizontal="center" vertical="center"/>
    </xf>
    <xf numFmtId="0" fontId="3" fillId="2" borderId="0" xfId="0" applyFont="1" applyFill="1" applyAlignment="1" applyProtection="1">
      <alignment horizontal="center" wrapText="1"/>
    </xf>
    <xf numFmtId="0" fontId="3" fillId="2" borderId="0" xfId="0" applyFont="1" applyFill="1" applyAlignment="1" applyProtection="1">
      <alignment vertical="top"/>
    </xf>
    <xf numFmtId="0" fontId="5" fillId="2" borderId="0" xfId="0" applyFont="1" applyFill="1" applyAlignment="1" applyProtection="1">
      <alignment horizontal="center" vertical="top"/>
    </xf>
    <xf numFmtId="0" fontId="0" fillId="2" borderId="0" xfId="0" applyFill="1" applyAlignment="1" applyProtection="1">
      <alignment wrapText="1"/>
    </xf>
    <xf numFmtId="0" fontId="0" fillId="2" borderId="0" xfId="0" applyFill="1" applyAlignment="1" applyProtection="1"/>
    <xf numFmtId="0" fontId="0" fillId="2" borderId="0" xfId="0" applyFill="1" applyAlignment="1" applyProtection="1">
      <alignment vertical="top"/>
    </xf>
    <xf numFmtId="0" fontId="0" fillId="2" borderId="0" xfId="0" applyFill="1" applyAlignment="1" applyProtection="1">
      <alignment vertical="top" wrapText="1"/>
    </xf>
    <xf numFmtId="166" fontId="0" fillId="4" borderId="1" xfId="1" applyNumberFormat="1" applyFont="1" applyFill="1" applyBorder="1" applyProtection="1">
      <protection locked="0"/>
    </xf>
    <xf numFmtId="9" fontId="0" fillId="4" borderId="1" xfId="2" applyFont="1" applyFill="1" applyBorder="1" applyProtection="1">
      <protection locked="0"/>
    </xf>
    <xf numFmtId="9" fontId="33" fillId="4" borderId="1" xfId="2" applyFont="1" applyFill="1" applyBorder="1" applyProtection="1">
      <protection locked="0"/>
    </xf>
    <xf numFmtId="171" fontId="0" fillId="4" borderId="1" xfId="0" applyNumberFormat="1" applyFill="1" applyBorder="1" applyAlignment="1" applyProtection="1">
      <alignment horizontal="center" vertical="center"/>
      <protection locked="0"/>
    </xf>
    <xf numFmtId="169" fontId="0" fillId="23" borderId="22" xfId="2" applyNumberFormat="1" applyFont="1" applyFill="1" applyBorder="1"/>
    <xf numFmtId="0" fontId="0" fillId="2" borderId="21" xfId="0" applyFill="1" applyBorder="1"/>
    <xf numFmtId="0" fontId="3" fillId="2" borderId="32" xfId="0" applyFont="1" applyFill="1" applyBorder="1" applyAlignment="1">
      <alignment horizontal="right"/>
    </xf>
    <xf numFmtId="0" fontId="65" fillId="0" borderId="21" xfId="1" applyNumberFormat="1" applyFont="1" applyBorder="1" applyAlignment="1">
      <alignment horizontal="center"/>
    </xf>
    <xf numFmtId="0" fontId="0" fillId="2" borderId="0" xfId="0" applyFont="1" applyFill="1" applyAlignment="1" applyProtection="1">
      <alignment horizontal="center" vertical="center" wrapText="1"/>
    </xf>
    <xf numFmtId="166" fontId="0" fillId="23" borderId="23" xfId="0" applyNumberFormat="1" applyFill="1" applyBorder="1"/>
    <xf numFmtId="11" fontId="3" fillId="0" borderId="22" xfId="1" applyNumberFormat="1" applyFont="1" applyFill="1" applyBorder="1"/>
    <xf numFmtId="168" fontId="3" fillId="16" borderId="22" xfId="1" applyNumberFormat="1" applyFont="1" applyFill="1" applyBorder="1"/>
    <xf numFmtId="43" fontId="0" fillId="18" borderId="21" xfId="1" applyFont="1" applyFill="1" applyBorder="1" applyAlignment="1">
      <alignment horizontal="right"/>
    </xf>
    <xf numFmtId="43" fontId="0" fillId="0" borderId="21" xfId="1" applyFont="1" applyFill="1" applyBorder="1" applyAlignment="1">
      <alignment horizontal="right"/>
    </xf>
    <xf numFmtId="9" fontId="0" fillId="13" borderId="1" xfId="2" applyFont="1" applyFill="1" applyBorder="1" applyAlignment="1" applyProtection="1">
      <alignment horizontal="center" vertical="center"/>
    </xf>
    <xf numFmtId="0" fontId="0" fillId="2" borderId="0" xfId="0" applyFill="1" applyAlignment="1">
      <alignment horizontal="left" vertical="top" wrapText="1"/>
    </xf>
    <xf numFmtId="0" fontId="5" fillId="22" borderId="0" xfId="0" applyFont="1" applyFill="1"/>
    <xf numFmtId="0" fontId="5" fillId="22" borderId="0" xfId="0" applyFont="1" applyFill="1" applyAlignment="1">
      <alignment horizontal="center"/>
    </xf>
    <xf numFmtId="0" fontId="40" fillId="22" borderId="43" xfId="0" applyFont="1" applyFill="1" applyBorder="1" applyAlignment="1">
      <alignment horizontal="right"/>
    </xf>
    <xf numFmtId="0" fontId="40" fillId="22" borderId="42" xfId="6" applyFont="1" applyFill="1" applyBorder="1" applyAlignment="1">
      <alignment horizontal="right" wrapText="1"/>
    </xf>
    <xf numFmtId="43" fontId="5" fillId="22" borderId="0" xfId="1" applyFont="1" applyFill="1"/>
    <xf numFmtId="11" fontId="5" fillId="22" borderId="0" xfId="1" applyNumberFormat="1" applyFont="1" applyFill="1"/>
    <xf numFmtId="168" fontId="5" fillId="22" borderId="0" xfId="1" applyNumberFormat="1" applyFont="1" applyFill="1"/>
    <xf numFmtId="11" fontId="5" fillId="22" borderId="0" xfId="0" applyNumberFormat="1" applyFont="1" applyFill="1"/>
    <xf numFmtId="0" fontId="43" fillId="22" borderId="0" xfId="0" applyFont="1" applyFill="1"/>
    <xf numFmtId="0" fontId="8" fillId="22" borderId="0" xfId="0" applyFont="1" applyFill="1"/>
    <xf numFmtId="14" fontId="43" fillId="22" borderId="0" xfId="0" applyNumberFormat="1" applyFont="1" applyFill="1" applyAlignment="1">
      <alignment horizontal="center"/>
    </xf>
    <xf numFmtId="0" fontId="0" fillId="0" borderId="0" xfId="0" applyAlignment="1" applyProtection="1">
      <alignment horizontal="right"/>
      <protection hidden="1"/>
    </xf>
    <xf numFmtId="0" fontId="0" fillId="0" borderId="0" xfId="0" applyProtection="1">
      <protection hidden="1"/>
    </xf>
    <xf numFmtId="0" fontId="0" fillId="2" borderId="0" xfId="0" applyFill="1" applyProtection="1">
      <protection hidden="1"/>
    </xf>
    <xf numFmtId="0" fontId="0" fillId="2" borderId="0" xfId="0" applyFill="1" applyAlignment="1" applyProtection="1">
      <alignment horizontal="center"/>
      <protection hidden="1"/>
    </xf>
    <xf numFmtId="0" fontId="3" fillId="0" borderId="0" xfId="0" applyFont="1" applyAlignment="1" applyProtection="1">
      <alignment horizontal="right"/>
      <protection hidden="1"/>
    </xf>
    <xf numFmtId="0" fontId="0" fillId="2" borderId="0" xfId="0" applyFill="1" applyAlignment="1" applyProtection="1">
      <alignment horizontal="right"/>
      <protection hidden="1"/>
    </xf>
    <xf numFmtId="0" fontId="3" fillId="2" borderId="0" xfId="0" applyFont="1" applyFill="1" applyProtection="1">
      <protection hidden="1"/>
    </xf>
    <xf numFmtId="0" fontId="0" fillId="2" borderId="0" xfId="0" applyFont="1" applyFill="1" applyAlignment="1" applyProtection="1">
      <alignment horizontal="right"/>
      <protection hidden="1"/>
    </xf>
    <xf numFmtId="0" fontId="0" fillId="2" borderId="0" xfId="0" applyFont="1" applyFill="1" applyProtection="1">
      <protection hidden="1"/>
    </xf>
    <xf numFmtId="0" fontId="2" fillId="9" borderId="4" xfId="0" applyFont="1" applyFill="1" applyBorder="1" applyAlignment="1" applyProtection="1">
      <alignment vertical="center"/>
      <protection hidden="1"/>
    </xf>
    <xf numFmtId="0" fontId="4" fillId="9" borderId="4" xfId="0" applyFont="1" applyFill="1" applyBorder="1" applyAlignment="1" applyProtection="1">
      <alignment horizontal="center" vertical="center"/>
      <protection hidden="1"/>
    </xf>
    <xf numFmtId="0" fontId="4" fillId="9" borderId="4" xfId="0" applyFont="1" applyFill="1" applyBorder="1" applyAlignment="1" applyProtection="1">
      <alignment vertical="center"/>
      <protection hidden="1"/>
    </xf>
    <xf numFmtId="166" fontId="0" fillId="2" borderId="0" xfId="1" applyNumberFormat="1" applyFont="1" applyFill="1" applyProtection="1">
      <protection hidden="1"/>
    </xf>
    <xf numFmtId="166" fontId="0" fillId="0" borderId="0" xfId="1" applyNumberFormat="1" applyFont="1" applyAlignment="1" applyProtection="1">
      <alignment horizontal="right"/>
      <protection hidden="1"/>
    </xf>
    <xf numFmtId="166" fontId="0" fillId="0" borderId="0" xfId="0" applyNumberFormat="1" applyAlignment="1" applyProtection="1">
      <alignment horizontal="right"/>
      <protection hidden="1"/>
    </xf>
    <xf numFmtId="0" fontId="3" fillId="2" borderId="0" xfId="0" applyFont="1" applyFill="1" applyAlignment="1" applyProtection="1">
      <alignment horizontal="center"/>
      <protection hidden="1"/>
    </xf>
    <xf numFmtId="166" fontId="3" fillId="2" borderId="0" xfId="1" applyNumberFormat="1" applyFont="1" applyFill="1" applyProtection="1">
      <protection hidden="1"/>
    </xf>
    <xf numFmtId="43" fontId="4" fillId="9" borderId="4" xfId="1" applyFont="1" applyFill="1" applyBorder="1" applyAlignment="1" applyProtection="1">
      <alignment vertical="center"/>
      <protection hidden="1"/>
    </xf>
    <xf numFmtId="43" fontId="0" fillId="2" borderId="0" xfId="1" applyFont="1" applyFill="1" applyProtection="1">
      <protection hidden="1"/>
    </xf>
    <xf numFmtId="165" fontId="0" fillId="2" borderId="0" xfId="1" applyNumberFormat="1" applyFont="1" applyFill="1" applyProtection="1">
      <protection hidden="1"/>
    </xf>
    <xf numFmtId="165" fontId="0" fillId="2" borderId="0" xfId="1" applyNumberFormat="1" applyFont="1" applyFill="1" applyAlignment="1" applyProtection="1">
      <alignment horizontal="left" indent="1"/>
      <protection hidden="1"/>
    </xf>
    <xf numFmtId="9" fontId="0" fillId="0" borderId="0" xfId="2" applyFont="1" applyAlignment="1" applyProtection="1">
      <alignment horizontal="right"/>
      <protection hidden="1"/>
    </xf>
    <xf numFmtId="11" fontId="0" fillId="2" borderId="0" xfId="1" applyNumberFormat="1" applyFont="1" applyFill="1" applyAlignment="1" applyProtection="1">
      <alignment horizontal="right"/>
      <protection hidden="1"/>
    </xf>
    <xf numFmtId="43" fontId="0" fillId="2" borderId="0" xfId="1" applyNumberFormat="1" applyFont="1" applyFill="1" applyProtection="1">
      <protection hidden="1"/>
    </xf>
    <xf numFmtId="165" fontId="0" fillId="0" borderId="0" xfId="1" applyNumberFormat="1" applyFont="1" applyAlignment="1" applyProtection="1">
      <alignment horizontal="right"/>
      <protection hidden="1"/>
    </xf>
    <xf numFmtId="43" fontId="3" fillId="2" borderId="0" xfId="1" applyNumberFormat="1" applyFont="1" applyFill="1" applyProtection="1">
      <protection hidden="1"/>
    </xf>
    <xf numFmtId="165" fontId="3" fillId="0" borderId="0" xfId="0" applyNumberFormat="1" applyFont="1" applyAlignment="1" applyProtection="1">
      <alignment horizontal="right"/>
      <protection hidden="1"/>
    </xf>
    <xf numFmtId="43" fontId="3" fillId="2" borderId="0" xfId="1" applyFont="1" applyFill="1" applyProtection="1">
      <protection hidden="1"/>
    </xf>
    <xf numFmtId="0" fontId="3" fillId="0" borderId="0" xfId="0" applyFont="1" applyProtection="1">
      <protection hidden="1"/>
    </xf>
    <xf numFmtId="0" fontId="0" fillId="0" borderId="0" xfId="0" applyFill="1" applyAlignment="1" applyProtection="1">
      <alignment horizontal="right"/>
      <protection hidden="1"/>
    </xf>
    <xf numFmtId="0" fontId="0" fillId="0" borderId="0" xfId="0" applyFill="1" applyProtection="1">
      <protection hidden="1"/>
    </xf>
    <xf numFmtId="171" fontId="0" fillId="0" borderId="0" xfId="0" applyNumberFormat="1" applyAlignment="1" applyProtection="1">
      <alignment horizontal="right"/>
      <protection hidden="1"/>
    </xf>
    <xf numFmtId="11" fontId="0" fillId="2" borderId="0" xfId="0" applyNumberFormat="1" applyFill="1" applyProtection="1">
      <protection hidden="1"/>
    </xf>
    <xf numFmtId="11" fontId="0" fillId="0" borderId="0" xfId="0" applyNumberFormat="1" applyAlignment="1" applyProtection="1">
      <alignment horizontal="right"/>
      <protection hidden="1"/>
    </xf>
    <xf numFmtId="11" fontId="3" fillId="2" borderId="0" xfId="0" applyNumberFormat="1" applyFont="1" applyFill="1" applyProtection="1">
      <protection hidden="1"/>
    </xf>
    <xf numFmtId="11" fontId="3" fillId="0" borderId="0" xfId="0" applyNumberFormat="1" applyFont="1" applyAlignment="1" applyProtection="1">
      <alignment horizontal="right"/>
      <protection hidden="1"/>
    </xf>
    <xf numFmtId="165" fontId="3" fillId="0" borderId="0" xfId="1" applyNumberFormat="1" applyFont="1" applyAlignment="1" applyProtection="1">
      <alignment horizontal="right"/>
      <protection hidden="1"/>
    </xf>
    <xf numFmtId="169" fontId="0" fillId="2" borderId="0" xfId="2" applyNumberFormat="1" applyFont="1" applyFill="1" applyProtection="1">
      <protection hidden="1"/>
    </xf>
    <xf numFmtId="0" fontId="2" fillId="24" borderId="0" xfId="0" applyFont="1" applyFill="1" applyProtection="1">
      <protection hidden="1"/>
    </xf>
    <xf numFmtId="0" fontId="0" fillId="24" borderId="0" xfId="0" applyFill="1" applyAlignment="1" applyProtection="1">
      <alignment horizontal="center"/>
      <protection hidden="1"/>
    </xf>
    <xf numFmtId="169" fontId="0" fillId="24" borderId="0" xfId="2" applyNumberFormat="1" applyFont="1" applyFill="1" applyProtection="1">
      <protection hidden="1"/>
    </xf>
    <xf numFmtId="0" fontId="0" fillId="24" borderId="0" xfId="0" applyFill="1" applyProtection="1">
      <protection hidden="1"/>
    </xf>
    <xf numFmtId="43" fontId="0" fillId="2" borderId="0" xfId="0" applyNumberFormat="1" applyFill="1" applyProtection="1">
      <protection hidden="1"/>
    </xf>
    <xf numFmtId="166" fontId="0" fillId="2" borderId="0" xfId="0" applyNumberFormat="1" applyFill="1" applyProtection="1">
      <protection hidden="1"/>
    </xf>
    <xf numFmtId="0" fontId="0" fillId="0" borderId="0" xfId="0" applyAlignment="1" applyProtection="1">
      <alignment horizontal="center"/>
      <protection hidden="1"/>
    </xf>
    <xf numFmtId="0" fontId="0" fillId="2" borderId="0" xfId="0" applyFill="1" applyAlignment="1">
      <alignment horizontal="left" vertical="top" wrapText="1"/>
    </xf>
    <xf numFmtId="0" fontId="51" fillId="2" borderId="0" xfId="0" applyFont="1" applyFill="1" applyAlignment="1">
      <alignment horizontal="center" vertical="center" wrapText="1"/>
    </xf>
    <xf numFmtId="0" fontId="51" fillId="2" borderId="0" xfId="0" applyFont="1" applyFill="1" applyAlignment="1">
      <alignment horizontal="center" vertical="center"/>
    </xf>
    <xf numFmtId="0" fontId="0" fillId="2" borderId="0" xfId="0" applyFill="1" applyAlignment="1" applyProtection="1">
      <alignment horizontal="left" vertical="top" wrapText="1"/>
    </xf>
    <xf numFmtId="0" fontId="0" fillId="2" borderId="0" xfId="0" applyFill="1" applyAlignment="1" applyProtection="1">
      <alignment horizontal="right" vertical="top" wrapText="1"/>
    </xf>
    <xf numFmtId="0" fontId="20" fillId="2" borderId="0" xfId="0" applyFont="1" applyFill="1" applyAlignment="1" applyProtection="1">
      <alignment horizontal="center" vertical="center" wrapText="1"/>
    </xf>
    <xf numFmtId="0" fontId="19" fillId="2" borderId="0" xfId="0" applyFont="1" applyFill="1" applyAlignment="1" applyProtection="1">
      <alignment horizontal="center" vertical="center" wrapText="1"/>
    </xf>
    <xf numFmtId="0" fontId="0" fillId="4" borderId="2" xfId="0" applyFill="1" applyBorder="1" applyAlignment="1" applyProtection="1">
      <alignment horizontal="left" vertical="center"/>
      <protection locked="0"/>
    </xf>
    <xf numFmtId="0" fontId="0" fillId="4" borderId="3" xfId="0" applyFill="1" applyBorder="1" applyAlignment="1" applyProtection="1">
      <alignment horizontal="left" vertical="center"/>
      <protection locked="0"/>
    </xf>
    <xf numFmtId="166" fontId="0" fillId="4" borderId="2" xfId="1" applyNumberFormat="1" applyFont="1" applyFill="1" applyBorder="1" applyAlignment="1" applyProtection="1">
      <alignment horizontal="center" vertical="center"/>
      <protection locked="0"/>
    </xf>
    <xf numFmtId="166" fontId="0" fillId="4" borderId="3" xfId="1" applyNumberFormat="1" applyFont="1" applyFill="1" applyBorder="1" applyAlignment="1" applyProtection="1">
      <alignment horizontal="center" vertical="center"/>
      <protection locked="0"/>
    </xf>
    <xf numFmtId="0" fontId="2" fillId="9" borderId="51" xfId="0" applyFont="1" applyFill="1" applyBorder="1" applyAlignment="1">
      <alignment horizontal="left" vertical="center"/>
    </xf>
    <xf numFmtId="0" fontId="2" fillId="9" borderId="62" xfId="0" applyFont="1" applyFill="1" applyBorder="1" applyAlignment="1">
      <alignment horizontal="left" vertical="center"/>
    </xf>
    <xf numFmtId="0" fontId="3" fillId="2" borderId="31" xfId="0" applyFont="1" applyFill="1" applyBorder="1" applyAlignment="1">
      <alignment horizontal="center"/>
    </xf>
    <xf numFmtId="0" fontId="3" fillId="2" borderId="52" xfId="0" applyFont="1" applyFill="1" applyBorder="1" applyAlignment="1">
      <alignment horizontal="center"/>
    </xf>
    <xf numFmtId="0" fontId="3" fillId="2" borderId="32" xfId="0" applyFont="1" applyFill="1" applyBorder="1" applyAlignment="1">
      <alignment horizontal="center"/>
    </xf>
    <xf numFmtId="0" fontId="2" fillId="9" borderId="22" xfId="0" applyFont="1" applyFill="1" applyBorder="1" applyAlignment="1">
      <alignment horizontal="left"/>
    </xf>
    <xf numFmtId="0" fontId="2" fillId="9" borderId="22" xfId="0" applyFont="1" applyFill="1" applyBorder="1" applyAlignment="1">
      <alignment horizontal="left" vertical="center"/>
    </xf>
    <xf numFmtId="0" fontId="2" fillId="9" borderId="23" xfId="0" applyFont="1" applyFill="1" applyBorder="1" applyAlignment="1">
      <alignment horizontal="left"/>
    </xf>
    <xf numFmtId="0" fontId="2" fillId="9" borderId="45" xfId="0" applyFont="1" applyFill="1" applyBorder="1" applyAlignment="1">
      <alignment horizontal="left"/>
    </xf>
    <xf numFmtId="0" fontId="2" fillId="9" borderId="24" xfId="0" applyFont="1" applyFill="1" applyBorder="1" applyAlignment="1">
      <alignment horizontal="left"/>
    </xf>
    <xf numFmtId="0" fontId="2" fillId="9" borderId="45" xfId="0" applyFont="1" applyFill="1" applyBorder="1" applyAlignment="1">
      <alignment horizontal="left" vertical="center"/>
    </xf>
    <xf numFmtId="0" fontId="2" fillId="9" borderId="24" xfId="0" applyFont="1" applyFill="1" applyBorder="1" applyAlignment="1">
      <alignment horizontal="left" vertical="center"/>
    </xf>
    <xf numFmtId="0" fontId="9" fillId="3" borderId="2" xfId="3" applyFont="1" applyFill="1" applyBorder="1" applyAlignment="1">
      <alignment horizontal="center" vertical="center" wrapText="1"/>
    </xf>
    <xf numFmtId="0" fontId="9" fillId="3" borderId="3" xfId="3" applyFont="1" applyFill="1" applyBorder="1" applyAlignment="1">
      <alignment horizontal="center" vertical="center" wrapText="1"/>
    </xf>
    <xf numFmtId="0" fontId="8" fillId="6" borderId="7" xfId="3" applyFont="1" applyFill="1" applyBorder="1" applyAlignment="1">
      <alignment horizontal="center" vertical="center" wrapText="1"/>
    </xf>
    <xf numFmtId="0" fontId="8" fillId="6" borderId="0" xfId="3" applyFont="1" applyFill="1" applyBorder="1" applyAlignment="1">
      <alignment horizontal="center" vertical="center" wrapText="1"/>
    </xf>
    <xf numFmtId="0" fontId="10" fillId="0" borderId="15" xfId="3" applyFont="1" applyFill="1" applyBorder="1" applyAlignment="1">
      <alignment horizontal="left" vertical="top" wrapText="1"/>
    </xf>
    <xf numFmtId="0" fontId="31" fillId="2" borderId="0" xfId="0" applyFont="1" applyFill="1" applyAlignment="1" applyProtection="1">
      <alignment horizontal="center" wrapText="1"/>
      <protection hidden="1"/>
    </xf>
    <xf numFmtId="0" fontId="66" fillId="2" borderId="66" xfId="0" applyFont="1" applyFill="1" applyBorder="1" applyAlignment="1">
      <alignment horizontal="left" vertical="top" wrapText="1"/>
    </xf>
    <xf numFmtId="0" fontId="66" fillId="2" borderId="67" xfId="0" applyFont="1" applyFill="1" applyBorder="1" applyAlignment="1">
      <alignment horizontal="left" vertical="top" wrapText="1"/>
    </xf>
    <xf numFmtId="0" fontId="66" fillId="2" borderId="68" xfId="0" applyFont="1" applyFill="1" applyBorder="1" applyAlignment="1">
      <alignment horizontal="left" vertical="top" wrapText="1"/>
    </xf>
    <xf numFmtId="0" fontId="68" fillId="2" borderId="66" xfId="0" applyFont="1" applyFill="1" applyBorder="1" applyAlignment="1">
      <alignment horizontal="left" vertical="top" wrapText="1"/>
    </xf>
    <xf numFmtId="0" fontId="68" fillId="2" borderId="67" xfId="0" applyFont="1" applyFill="1" applyBorder="1" applyAlignment="1">
      <alignment horizontal="left" vertical="top" wrapText="1"/>
    </xf>
    <xf numFmtId="0" fontId="68" fillId="2" borderId="68" xfId="0" applyFont="1" applyFill="1" applyBorder="1" applyAlignment="1">
      <alignment horizontal="left" vertical="top" wrapText="1"/>
    </xf>
    <xf numFmtId="0" fontId="68" fillId="2" borderId="31" xfId="0" applyFont="1" applyFill="1" applyBorder="1" applyAlignment="1">
      <alignment horizontal="left" vertical="top" wrapText="1"/>
    </xf>
    <xf numFmtId="0" fontId="68" fillId="2" borderId="52" xfId="0" applyFont="1" applyFill="1" applyBorder="1" applyAlignment="1">
      <alignment horizontal="left" vertical="top" wrapText="1"/>
    </xf>
    <xf numFmtId="0" fontId="68" fillId="2" borderId="32" xfId="0" applyFont="1" applyFill="1" applyBorder="1" applyAlignment="1">
      <alignment horizontal="left" vertical="top" wrapText="1"/>
    </xf>
    <xf numFmtId="0" fontId="66" fillId="2" borderId="31" xfId="0" applyFont="1" applyFill="1" applyBorder="1" applyAlignment="1">
      <alignment horizontal="left" vertical="top" wrapText="1"/>
    </xf>
    <xf numFmtId="0" fontId="66" fillId="2" borderId="52" xfId="0" applyFont="1" applyFill="1" applyBorder="1" applyAlignment="1">
      <alignment horizontal="left" vertical="top" wrapText="1"/>
    </xf>
    <xf numFmtId="0" fontId="66" fillId="2" borderId="32" xfId="0" applyFont="1" applyFill="1" applyBorder="1" applyAlignment="1">
      <alignment horizontal="left" vertical="top" wrapText="1"/>
    </xf>
    <xf numFmtId="0" fontId="67" fillId="2" borderId="66" xfId="0" applyFont="1" applyFill="1" applyBorder="1" applyAlignment="1">
      <alignment horizontal="center" vertical="center" wrapText="1"/>
    </xf>
    <xf numFmtId="0" fontId="67" fillId="2" borderId="67" xfId="0" applyFont="1" applyFill="1" applyBorder="1" applyAlignment="1">
      <alignment horizontal="center" vertical="center" wrapText="1"/>
    </xf>
    <xf numFmtId="0" fontId="67" fillId="2" borderId="68" xfId="0" applyFont="1" applyFill="1" applyBorder="1" applyAlignment="1">
      <alignment horizontal="center" vertical="center" wrapText="1"/>
    </xf>
    <xf numFmtId="0" fontId="68" fillId="2" borderId="66" xfId="0" applyFont="1" applyFill="1" applyBorder="1" applyAlignment="1">
      <alignment horizontal="left" wrapText="1"/>
    </xf>
    <xf numFmtId="0" fontId="68" fillId="2" borderId="67" xfId="0" applyFont="1" applyFill="1" applyBorder="1" applyAlignment="1">
      <alignment horizontal="left" wrapText="1"/>
    </xf>
    <xf numFmtId="0" fontId="68" fillId="2" borderId="68" xfId="0" applyFont="1" applyFill="1" applyBorder="1" applyAlignment="1">
      <alignment horizontal="left" wrapText="1"/>
    </xf>
    <xf numFmtId="0" fontId="66" fillId="2" borderId="66" xfId="0" applyFont="1" applyFill="1" applyBorder="1" applyAlignment="1">
      <alignment horizontal="left" wrapText="1"/>
    </xf>
    <xf numFmtId="0" fontId="66" fillId="2" borderId="67" xfId="0" applyFont="1" applyFill="1" applyBorder="1" applyAlignment="1">
      <alignment horizontal="left" wrapText="1"/>
    </xf>
    <xf numFmtId="0" fontId="66" fillId="2" borderId="68" xfId="0" applyFont="1" applyFill="1" applyBorder="1" applyAlignment="1">
      <alignment horizontal="left" wrapText="1"/>
    </xf>
  </cellXfs>
  <cellStyles count="9">
    <cellStyle name="Comma 2" xfId="5" xr:uid="{00000000-0005-0000-0000-000000000000}"/>
    <cellStyle name="Komma" xfId="1" builtinId="3"/>
    <cellStyle name="Link" xfId="4" builtinId="8"/>
    <cellStyle name="Normal 2" xfId="3" xr:uid="{00000000-0005-0000-0000-000003000000}"/>
    <cellStyle name="Prozent" xfId="2" builtinId="5"/>
    <cellStyle name="Prozent 2" xfId="8" xr:uid="{00000000-0005-0000-0000-000005000000}"/>
    <cellStyle name="Standard" xfId="0" builtinId="0"/>
    <cellStyle name="Standard 2" xfId="7" xr:uid="{00000000-0005-0000-0000-000007000000}"/>
    <cellStyle name="Standard_Tabelle1" xfId="6" xr:uid="{00000000-0005-0000-0000-000008000000}"/>
  </cellStyles>
  <dxfs count="0"/>
  <tableStyles count="0" defaultTableStyle="TableStyleMedium2" defaultPivotStyle="PivotStyleLight16"/>
  <colors>
    <mruColors>
      <color rgb="FF005EA4"/>
      <color rgb="FFE1F4FF"/>
      <color rgb="FFFFFF99"/>
      <color rgb="FF29A3FF"/>
      <color rgb="FFFFCCFF"/>
      <color rgb="FF5497D4"/>
      <color rgb="FFFFF0D9"/>
      <color rgb="FFCAF8FE"/>
      <color rgb="FFBDFF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793750</xdr:colOff>
      <xdr:row>9</xdr:row>
      <xdr:rowOff>190501</xdr:rowOff>
    </xdr:from>
    <xdr:to>
      <xdr:col>1</xdr:col>
      <xdr:colOff>7061425</xdr:colOff>
      <xdr:row>9</xdr:row>
      <xdr:rowOff>3953049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793750" y="3175001"/>
          <a:ext cx="7251925" cy="3762548"/>
        </a:xfrm>
        <a:prstGeom prst="rect">
          <a:avLst/>
        </a:prstGeom>
      </xdr:spPr>
    </xdr:pic>
    <xdr:clientData/>
  </xdr:twoCellAnchor>
  <xdr:twoCellAnchor editAs="oneCell">
    <xdr:from>
      <xdr:col>1</xdr:col>
      <xdr:colOff>7027334</xdr:colOff>
      <xdr:row>0</xdr:row>
      <xdr:rowOff>21167</xdr:rowOff>
    </xdr:from>
    <xdr:to>
      <xdr:col>1</xdr:col>
      <xdr:colOff>8300128</xdr:colOff>
      <xdr:row>1</xdr:row>
      <xdr:rowOff>9314</xdr:rowOff>
    </xdr:to>
    <xdr:pic>
      <xdr:nvPicPr>
        <xdr:cNvPr id="4" name="Grafik 3">
          <a:extLst>
            <a:ext uri="{FF2B5EF4-FFF2-40B4-BE49-F238E27FC236}">
              <a16:creationId xmlns:a16="http://schemas.microsoft.com/office/drawing/2014/main" id="{D39EC13B-2715-434D-AC43-912DF3AA9EA9}"/>
            </a:ext>
          </a:extLst>
        </xdr:cNvPr>
        <xdr:cNvPicPr>
          <a:picLocks noChangeAspect="1"/>
        </xdr:cNvPicPr>
      </xdr:nvPicPr>
      <xdr:blipFill>
        <a:blip xmlns:r="http://schemas.openxmlformats.org/officeDocument/2006/relationships" r:embed="rId2">
          <a:duotone>
            <a:prstClr val="black"/>
            <a:schemeClr val="accent3">
              <a:tint val="45000"/>
              <a:satMod val="400000"/>
            </a:schemeClr>
          </a:duotone>
          <a:extLst>
            <a:ext uri="{28A0092B-C50C-407E-A947-70E740481C1C}">
              <a14:useLocalDpi xmlns:a14="http://schemas.microsoft.com/office/drawing/2010/main" val="0"/>
            </a:ext>
          </a:extLst>
        </a:blip>
        <a:stretch>
          <a:fillRect/>
        </a:stretch>
      </xdr:blipFill>
      <xdr:spPr>
        <a:xfrm>
          <a:off x="8032751" y="21167"/>
          <a:ext cx="1272794" cy="4114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538162</xdr:colOff>
      <xdr:row>124</xdr:row>
      <xdr:rowOff>4762</xdr:rowOff>
    </xdr:from>
    <xdr:ext cx="65" cy="172227"/>
    <xdr:sp macro="" textlink="">
      <xdr:nvSpPr>
        <xdr:cNvPr id="22" name="Textfeld 21">
          <a:extLst>
            <a:ext uri="{FF2B5EF4-FFF2-40B4-BE49-F238E27FC236}">
              <a16:creationId xmlns:a16="http://schemas.microsoft.com/office/drawing/2014/main" id="{00000000-0008-0000-0100-000016000000}"/>
            </a:ext>
          </a:extLst>
        </xdr:cNvPr>
        <xdr:cNvSpPr txBox="1"/>
      </xdr:nvSpPr>
      <xdr:spPr>
        <a:xfrm>
          <a:off x="6853237" y="49196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CH" sz="1100"/>
        </a:p>
      </xdr:txBody>
    </xdr:sp>
    <xdr:clientData/>
  </xdr:oneCellAnchor>
  <xdr:oneCellAnchor>
    <xdr:from>
      <xdr:col>10</xdr:col>
      <xdr:colOff>538162</xdr:colOff>
      <xdr:row>177</xdr:row>
      <xdr:rowOff>4762</xdr:rowOff>
    </xdr:from>
    <xdr:ext cx="65" cy="172227"/>
    <xdr:sp macro="" textlink="">
      <xdr:nvSpPr>
        <xdr:cNvPr id="76" name="Textfeld 75">
          <a:extLst>
            <a:ext uri="{FF2B5EF4-FFF2-40B4-BE49-F238E27FC236}">
              <a16:creationId xmlns:a16="http://schemas.microsoft.com/office/drawing/2014/main" id="{00000000-0008-0000-0100-00004C000000}"/>
            </a:ext>
          </a:extLst>
        </xdr:cNvPr>
        <xdr:cNvSpPr txBox="1"/>
      </xdr:nvSpPr>
      <xdr:spPr>
        <a:xfrm>
          <a:off x="9165695" y="540649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CH" sz="1100"/>
        </a:p>
      </xdr:txBody>
    </xdr:sp>
    <xdr:clientData/>
  </xdr:oneCellAnchor>
  <xdr:twoCellAnchor editAs="oneCell">
    <xdr:from>
      <xdr:col>1</xdr:col>
      <xdr:colOff>211667</xdr:colOff>
      <xdr:row>121</xdr:row>
      <xdr:rowOff>170538</xdr:rowOff>
    </xdr:from>
    <xdr:to>
      <xdr:col>1</xdr:col>
      <xdr:colOff>1172846</xdr:colOff>
      <xdr:row>121</xdr:row>
      <xdr:rowOff>554638</xdr:rowOff>
    </xdr:to>
    <xdr:pic>
      <xdr:nvPicPr>
        <xdr:cNvPr id="82" name="Picture 24" descr="Bildergebnis für AIrcraft icon">
          <a:extLst>
            <a:ext uri="{FF2B5EF4-FFF2-40B4-BE49-F238E27FC236}">
              <a16:creationId xmlns:a16="http://schemas.microsoft.com/office/drawing/2014/main" id="{00000000-0008-0000-0100-00005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1830" b="25770"/>
        <a:stretch/>
      </xdr:blipFill>
      <xdr:spPr bwMode="auto">
        <a:xfrm>
          <a:off x="306917" y="20056621"/>
          <a:ext cx="963084" cy="387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67734</xdr:colOff>
      <xdr:row>173</xdr:row>
      <xdr:rowOff>118534</xdr:rowOff>
    </xdr:from>
    <xdr:to>
      <xdr:col>1</xdr:col>
      <xdr:colOff>1163743</xdr:colOff>
      <xdr:row>173</xdr:row>
      <xdr:rowOff>554639</xdr:rowOff>
    </xdr:to>
    <xdr:pic>
      <xdr:nvPicPr>
        <xdr:cNvPr id="83" name="Picture 24" descr="Bildergebnis für AIrcraft icon">
          <a:extLst>
            <a:ext uri="{FF2B5EF4-FFF2-40B4-BE49-F238E27FC236}">
              <a16:creationId xmlns:a16="http://schemas.microsoft.com/office/drawing/2014/main" id="{00000000-0008-0000-0100-00005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1830" b="25770"/>
        <a:stretch/>
      </xdr:blipFill>
      <xdr:spPr bwMode="auto">
        <a:xfrm>
          <a:off x="169334" y="9779001"/>
          <a:ext cx="1092199" cy="439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730250</xdr:colOff>
      <xdr:row>0</xdr:row>
      <xdr:rowOff>21166</xdr:rowOff>
    </xdr:from>
    <xdr:to>
      <xdr:col>14</xdr:col>
      <xdr:colOff>69258</xdr:colOff>
      <xdr:row>0</xdr:row>
      <xdr:rowOff>434551</xdr:rowOff>
    </xdr:to>
    <xdr:pic>
      <xdr:nvPicPr>
        <xdr:cNvPr id="11" name="Grafik 10">
          <a:extLst>
            <a:ext uri="{FF2B5EF4-FFF2-40B4-BE49-F238E27FC236}">
              <a16:creationId xmlns:a16="http://schemas.microsoft.com/office/drawing/2014/main" id="{888EA3F7-6409-4C5D-937E-61A9C4A95BB9}"/>
            </a:ext>
          </a:extLst>
        </xdr:cNvPr>
        <xdr:cNvPicPr>
          <a:picLocks noChangeAspect="1"/>
        </xdr:cNvPicPr>
      </xdr:nvPicPr>
      <xdr:blipFill>
        <a:blip xmlns:r="http://schemas.openxmlformats.org/officeDocument/2006/relationships" r:embed="rId2">
          <a:duotone>
            <a:prstClr val="black"/>
            <a:schemeClr val="accent3">
              <a:tint val="45000"/>
              <a:satMod val="400000"/>
            </a:schemeClr>
          </a:duotone>
          <a:extLst>
            <a:ext uri="{28A0092B-C50C-407E-A947-70E740481C1C}">
              <a14:useLocalDpi xmlns:a14="http://schemas.microsoft.com/office/drawing/2010/main" val="0"/>
            </a:ext>
          </a:extLst>
        </a:blip>
        <a:stretch>
          <a:fillRect/>
        </a:stretch>
      </xdr:blipFill>
      <xdr:spPr>
        <a:xfrm>
          <a:off x="11419417" y="21166"/>
          <a:ext cx="1267079" cy="4171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95250</xdr:colOff>
      <xdr:row>185</xdr:row>
      <xdr:rowOff>57150</xdr:rowOff>
    </xdr:from>
    <xdr:to>
      <xdr:col>4</xdr:col>
      <xdr:colOff>352425</xdr:colOff>
      <xdr:row>192</xdr:row>
      <xdr:rowOff>95250</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rot="16200000">
          <a:off x="5181600" y="30594300"/>
          <a:ext cx="1171575"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CH" sz="1100"/>
            <a:t>Annahmen</a:t>
          </a:r>
          <a:r>
            <a:rPr lang="de-CH" sz="1100" baseline="0"/>
            <a:t> Fleuti</a:t>
          </a:r>
          <a:endParaRPr lang="de-CH"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6.bin"/><Relationship Id="rId1" Type="http://schemas.openxmlformats.org/officeDocument/2006/relationships/hyperlink" Target="http://www.seai.ie/" TargetMode="External"/><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1"/>
  <sheetViews>
    <sheetView zoomScale="90" zoomScaleNormal="90" workbookViewId="0">
      <pane ySplit="2" topLeftCell="A36" activePane="bottomLeft" state="frozen"/>
      <selection pane="bottomLeft" sqref="A1:XFD1048576"/>
    </sheetView>
  </sheetViews>
  <sheetFormatPr baseColWidth="10" defaultRowHeight="13.2" x14ac:dyDescent="0.25"/>
  <cols>
    <col min="1" max="1" width="14.6640625" customWidth="1"/>
    <col min="2" max="2" width="122.44140625" customWidth="1"/>
  </cols>
  <sheetData>
    <row r="1" spans="1:2" ht="33" customHeight="1" x14ac:dyDescent="0.25">
      <c r="A1" s="1"/>
      <c r="B1" s="1"/>
    </row>
    <row r="2" spans="1:2" s="261" customFormat="1" ht="77.25" customHeight="1" x14ac:dyDescent="0.25">
      <c r="A2" s="615" t="s">
        <v>3574</v>
      </c>
      <c r="B2" s="616"/>
    </row>
    <row r="3" spans="1:2" s="261" customFormat="1" x14ac:dyDescent="0.25">
      <c r="A3" s="46" t="s">
        <v>586</v>
      </c>
      <c r="B3" s="153" t="str">
        <f>ALECA_Input!N1</f>
        <v>ef/v20-49</v>
      </c>
    </row>
    <row r="4" spans="1:2" s="261" customFormat="1" ht="6" customHeight="1" x14ac:dyDescent="0.25">
      <c r="A4" s="1"/>
      <c r="B4" s="1"/>
    </row>
    <row r="5" spans="1:2" s="261" customFormat="1" ht="26.25" customHeight="1" x14ac:dyDescent="0.25">
      <c r="A5" s="614" t="s">
        <v>3509</v>
      </c>
      <c r="B5" s="614"/>
    </row>
    <row r="6" spans="1:2" s="261" customFormat="1" x14ac:dyDescent="0.25">
      <c r="A6" s="614" t="s">
        <v>3644</v>
      </c>
      <c r="B6" s="614"/>
    </row>
    <row r="7" spans="1:2" s="261" customFormat="1" ht="27" customHeight="1" x14ac:dyDescent="0.25">
      <c r="A7" s="614" t="s">
        <v>3572</v>
      </c>
      <c r="B7" s="614"/>
    </row>
    <row r="8" spans="1:2" s="261" customFormat="1" ht="30" customHeight="1" x14ac:dyDescent="0.25">
      <c r="A8" s="614" t="s">
        <v>3573</v>
      </c>
      <c r="B8" s="614"/>
    </row>
    <row r="9" spans="1:2" s="261" customFormat="1" ht="10.199999999999999" customHeight="1" x14ac:dyDescent="0.25">
      <c r="A9" s="557"/>
      <c r="B9" s="557"/>
    </row>
    <row r="10" spans="1:2" s="266" customFormat="1" ht="326.25" customHeight="1" x14ac:dyDescent="0.25">
      <c r="A10" s="362" t="s">
        <v>3371</v>
      </c>
      <c r="B10" s="151"/>
    </row>
    <row r="11" spans="1:2" s="261" customFormat="1" x14ac:dyDescent="0.25">
      <c r="A11" s="46" t="s">
        <v>597</v>
      </c>
      <c r="B11" s="47"/>
    </row>
    <row r="12" spans="1:2" s="261" customFormat="1" ht="6" customHeight="1" x14ac:dyDescent="0.25">
      <c r="A12" s="1"/>
      <c r="B12" s="1"/>
    </row>
    <row r="13" spans="1:2" s="261" customFormat="1" x14ac:dyDescent="0.25">
      <c r="A13" s="151" t="s">
        <v>620</v>
      </c>
      <c r="B13" s="151" t="s">
        <v>3450</v>
      </c>
    </row>
    <row r="14" spans="1:2" s="261" customFormat="1" x14ac:dyDescent="0.25">
      <c r="A14" s="151"/>
      <c r="B14" s="151" t="s">
        <v>621</v>
      </c>
    </row>
    <row r="15" spans="1:2" s="261" customFormat="1" x14ac:dyDescent="0.25">
      <c r="A15" s="151"/>
      <c r="B15" s="151" t="s">
        <v>3437</v>
      </c>
    </row>
    <row r="16" spans="1:2" s="261" customFormat="1" x14ac:dyDescent="0.25">
      <c r="A16" s="151"/>
      <c r="B16" s="151" t="s">
        <v>627</v>
      </c>
    </row>
    <row r="17" spans="1:2" s="261" customFormat="1" x14ac:dyDescent="0.25">
      <c r="A17" s="151"/>
      <c r="B17" s="151" t="s">
        <v>622</v>
      </c>
    </row>
    <row r="18" spans="1:2" s="261" customFormat="1" x14ac:dyDescent="0.25">
      <c r="A18" s="151"/>
      <c r="B18" s="151" t="s">
        <v>626</v>
      </c>
    </row>
    <row r="19" spans="1:2" s="261" customFormat="1" x14ac:dyDescent="0.25">
      <c r="A19" s="151"/>
      <c r="B19" s="151" t="s">
        <v>3453</v>
      </c>
    </row>
    <row r="20" spans="1:2" s="261" customFormat="1" ht="18.75" customHeight="1" x14ac:dyDescent="0.25">
      <c r="A20" s="151"/>
      <c r="B20" s="151" t="s">
        <v>3454</v>
      </c>
    </row>
    <row r="21" spans="1:2" s="261" customFormat="1" ht="18.75" customHeight="1" x14ac:dyDescent="0.25">
      <c r="A21" s="151" t="s">
        <v>2959</v>
      </c>
      <c r="B21" s="151" t="s">
        <v>3285</v>
      </c>
    </row>
    <row r="22" spans="1:2" s="261" customFormat="1" x14ac:dyDescent="0.25">
      <c r="A22" s="151" t="s">
        <v>625</v>
      </c>
      <c r="B22" s="151" t="s">
        <v>628</v>
      </c>
    </row>
    <row r="23" spans="1:2" s="261" customFormat="1" x14ac:dyDescent="0.25">
      <c r="A23" s="151"/>
      <c r="B23" s="151" t="s">
        <v>632</v>
      </c>
    </row>
    <row r="24" spans="1:2" s="261" customFormat="1" x14ac:dyDescent="0.25">
      <c r="A24" s="151"/>
      <c r="B24" s="151" t="s">
        <v>630</v>
      </c>
    </row>
    <row r="25" spans="1:2" s="261" customFormat="1" ht="9" customHeight="1" x14ac:dyDescent="0.25">
      <c r="A25" s="151"/>
      <c r="B25" s="151"/>
    </row>
    <row r="26" spans="1:2" s="261" customFormat="1" ht="17.25" customHeight="1" x14ac:dyDescent="0.25">
      <c r="A26" s="151" t="s">
        <v>633</v>
      </c>
      <c r="B26" s="151" t="s">
        <v>3286</v>
      </c>
    </row>
    <row r="27" spans="1:2" s="261" customFormat="1" ht="26.4" x14ac:dyDescent="0.25">
      <c r="A27" s="151" t="s">
        <v>610</v>
      </c>
      <c r="B27" s="152" t="s">
        <v>636</v>
      </c>
    </row>
    <row r="28" spans="1:2" s="261" customFormat="1" x14ac:dyDescent="0.25">
      <c r="A28" s="151"/>
      <c r="B28" s="151" t="s">
        <v>634</v>
      </c>
    </row>
    <row r="29" spans="1:2" s="261" customFormat="1" x14ac:dyDescent="0.25">
      <c r="A29" s="151"/>
      <c r="B29" s="151" t="s">
        <v>638</v>
      </c>
    </row>
    <row r="30" spans="1:2" s="261" customFormat="1" ht="30" customHeight="1" x14ac:dyDescent="0.25">
      <c r="A30" s="151"/>
      <c r="B30" s="152" t="s">
        <v>3296</v>
      </c>
    </row>
    <row r="31" spans="1:2" s="261" customFormat="1" ht="42.75" customHeight="1" x14ac:dyDescent="0.25">
      <c r="A31" s="151" t="s">
        <v>635</v>
      </c>
      <c r="B31" s="152" t="s">
        <v>3367</v>
      </c>
    </row>
    <row r="32" spans="1:2" s="261" customFormat="1" ht="15" customHeight="1" x14ac:dyDescent="0.25">
      <c r="A32" s="151"/>
      <c r="B32" s="152" t="s">
        <v>3571</v>
      </c>
    </row>
    <row r="33" spans="1:2" s="261" customFormat="1" ht="30" customHeight="1" x14ac:dyDescent="0.25">
      <c r="A33" s="151" t="s">
        <v>604</v>
      </c>
      <c r="B33" s="152" t="s">
        <v>2963</v>
      </c>
    </row>
    <row r="34" spans="1:2" s="261" customFormat="1" ht="44.25" customHeight="1" x14ac:dyDescent="0.25">
      <c r="A34" s="151" t="s">
        <v>637</v>
      </c>
      <c r="B34" s="152" t="s">
        <v>3328</v>
      </c>
    </row>
    <row r="35" spans="1:2" s="261" customFormat="1" ht="15.6" x14ac:dyDescent="0.25">
      <c r="A35" s="151" t="s">
        <v>639</v>
      </c>
      <c r="B35" s="152" t="s">
        <v>2964</v>
      </c>
    </row>
    <row r="36" spans="1:2" s="261" customFormat="1" ht="21" customHeight="1" x14ac:dyDescent="0.25">
      <c r="A36" s="151"/>
      <c r="B36" s="152"/>
    </row>
    <row r="37" spans="1:2" s="261" customFormat="1" x14ac:dyDescent="0.25">
      <c r="A37" s="46" t="s">
        <v>174</v>
      </c>
      <c r="B37" s="47"/>
    </row>
    <row r="38" spans="1:2" s="261" customFormat="1" ht="3.75" customHeight="1" x14ac:dyDescent="0.25">
      <c r="A38" s="1"/>
      <c r="B38" s="1"/>
    </row>
    <row r="39" spans="1:2" s="261" customFormat="1" ht="11.25" customHeight="1" x14ac:dyDescent="0.25">
      <c r="A39" s="1" t="s">
        <v>170</v>
      </c>
      <c r="B39" s="1" t="s">
        <v>613</v>
      </c>
    </row>
    <row r="40" spans="1:2" s="261" customFormat="1" x14ac:dyDescent="0.25">
      <c r="A40" s="1" t="s">
        <v>587</v>
      </c>
      <c r="B40" s="1" t="s">
        <v>588</v>
      </c>
    </row>
    <row r="41" spans="1:2" s="261" customFormat="1" x14ac:dyDescent="0.25">
      <c r="A41" s="1" t="s">
        <v>169</v>
      </c>
      <c r="B41" s="1" t="s">
        <v>172</v>
      </c>
    </row>
    <row r="42" spans="1:2" s="261" customFormat="1" x14ac:dyDescent="0.25">
      <c r="A42" s="1" t="s">
        <v>591</v>
      </c>
      <c r="B42" s="1" t="s">
        <v>3610</v>
      </c>
    </row>
    <row r="43" spans="1:2" s="261" customFormat="1" x14ac:dyDescent="0.25">
      <c r="A43" s="1" t="s">
        <v>497</v>
      </c>
      <c r="B43" s="1" t="s">
        <v>595</v>
      </c>
    </row>
    <row r="44" spans="1:2" s="261" customFormat="1" x14ac:dyDescent="0.25">
      <c r="A44" s="1" t="s">
        <v>500</v>
      </c>
      <c r="B44" s="1" t="s">
        <v>594</v>
      </c>
    </row>
    <row r="45" spans="1:2" s="261" customFormat="1" x14ac:dyDescent="0.25">
      <c r="A45" s="1" t="s">
        <v>168</v>
      </c>
      <c r="B45" s="1" t="s">
        <v>171</v>
      </c>
    </row>
    <row r="46" spans="1:2" s="261" customFormat="1" x14ac:dyDescent="0.25">
      <c r="A46" s="1" t="s">
        <v>589</v>
      </c>
      <c r="B46" s="1" t="s">
        <v>3370</v>
      </c>
    </row>
    <row r="47" spans="1:2" s="261" customFormat="1" x14ac:dyDescent="0.25">
      <c r="A47" s="1" t="s">
        <v>173</v>
      </c>
      <c r="B47" s="1" t="s">
        <v>3369</v>
      </c>
    </row>
    <row r="48" spans="1:2" s="261" customFormat="1" x14ac:dyDescent="0.25">
      <c r="A48" s="1" t="s">
        <v>623</v>
      </c>
      <c r="B48" s="1" t="s">
        <v>624</v>
      </c>
    </row>
    <row r="49" spans="1:2" s="261" customFormat="1" x14ac:dyDescent="0.25">
      <c r="A49" s="1" t="s">
        <v>598</v>
      </c>
      <c r="B49" s="1" t="s">
        <v>599</v>
      </c>
    </row>
    <row r="50" spans="1:2" s="261" customFormat="1" x14ac:dyDescent="0.25">
      <c r="A50" s="1" t="s">
        <v>178</v>
      </c>
      <c r="B50" s="1" t="s">
        <v>629</v>
      </c>
    </row>
    <row r="51" spans="1:2" s="261" customFormat="1" x14ac:dyDescent="0.25">
      <c r="A51" s="1" t="s">
        <v>592</v>
      </c>
      <c r="B51" s="1" t="s">
        <v>3368</v>
      </c>
    </row>
    <row r="52" spans="1:2" s="261" customFormat="1" x14ac:dyDescent="0.25">
      <c r="A52" s="1" t="s">
        <v>390</v>
      </c>
      <c r="B52" s="1" t="s">
        <v>590</v>
      </c>
    </row>
    <row r="53" spans="1:2" s="261" customFormat="1" x14ac:dyDescent="0.25">
      <c r="A53" s="1" t="s">
        <v>571</v>
      </c>
      <c r="B53" s="1" t="s">
        <v>3242</v>
      </c>
    </row>
    <row r="54" spans="1:2" s="261" customFormat="1" x14ac:dyDescent="0.25">
      <c r="A54" s="1" t="s">
        <v>175</v>
      </c>
      <c r="B54" s="1" t="s">
        <v>614</v>
      </c>
    </row>
    <row r="55" spans="1:2" s="261" customFormat="1" x14ac:dyDescent="0.25">
      <c r="A55" s="1" t="s">
        <v>1</v>
      </c>
      <c r="B55" s="1" t="s">
        <v>179</v>
      </c>
    </row>
    <row r="56" spans="1:2" s="261" customFormat="1" x14ac:dyDescent="0.25">
      <c r="A56" s="1" t="s">
        <v>2965</v>
      </c>
      <c r="B56" s="1" t="s">
        <v>2966</v>
      </c>
    </row>
    <row r="57" spans="1:2" s="261" customFormat="1" x14ac:dyDescent="0.25">
      <c r="A57" s="1" t="s">
        <v>559</v>
      </c>
      <c r="B57" s="1" t="s">
        <v>593</v>
      </c>
    </row>
    <row r="58" spans="1:2" s="261" customFormat="1" ht="18" customHeight="1" x14ac:dyDescent="0.25">
      <c r="A58" s="1"/>
      <c r="B58" s="1"/>
    </row>
    <row r="59" spans="1:2" s="261" customFormat="1" x14ac:dyDescent="0.25">
      <c r="A59" s="46" t="s">
        <v>3637</v>
      </c>
      <c r="B59" s="47"/>
    </row>
    <row r="60" spans="1:2" s="261" customFormat="1" ht="5.25" customHeight="1" x14ac:dyDescent="0.25">
      <c r="A60" s="1"/>
      <c r="B60" s="1"/>
    </row>
    <row r="61" spans="1:2" s="261" customFormat="1" x14ac:dyDescent="0.25">
      <c r="A61" s="1" t="s">
        <v>3638</v>
      </c>
      <c r="B61" s="1"/>
    </row>
  </sheetData>
  <sheetProtection algorithmName="SHA-512" hashValue="VKtox/kCqxZb+IscKSEY48Lpn4Rwt/eW4YhY5/S3nEtbtRZa/438hhFyxNRXkEhAkax04Y9JXeTBcsrqd9vVjw==" saltValue="A49ONK2etM4DgPzQrhHUzg==" spinCount="100000" sheet="1" objects="1" scenarios="1" selectLockedCells="1" selectUnlockedCells="1"/>
  <sortState xmlns:xlrd2="http://schemas.microsoft.com/office/spreadsheetml/2017/richdata2" ref="A60:M72">
    <sortCondition ref="A9"/>
  </sortState>
  <mergeCells count="5">
    <mergeCell ref="A5:B5"/>
    <mergeCell ref="A6:B6"/>
    <mergeCell ref="A7:B7"/>
    <mergeCell ref="A8:B8"/>
    <mergeCell ref="A2:B2"/>
  </mergeCells>
  <pageMargins left="0.70866141732283472" right="0.70866141732283472" top="0.78740157480314965" bottom="0.78740157480314965" header="0.31496062992125984" footer="0.31496062992125984"/>
  <pageSetup paperSize="9" scale="68" fitToHeight="2" orientation="portrait" r:id="rId1"/>
  <headerFooter>
    <oddHeader>&amp;LFlughafen Zürich AG/Environment</oddHeader>
  </headerFooter>
  <rowBreaks count="1" manualBreakCount="1">
    <brk id="36" max="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B1:O207"/>
  <sheetViews>
    <sheetView zoomScale="90" zoomScaleNormal="90" workbookViewId="0">
      <pane ySplit="1" topLeftCell="A179" activePane="bottomLeft" state="frozen"/>
      <selection pane="bottomLeft" activeCell="D148" sqref="D148"/>
    </sheetView>
  </sheetViews>
  <sheetFormatPr baseColWidth="10" defaultColWidth="11.44140625" defaultRowHeight="13.2" x14ac:dyDescent="0.25"/>
  <cols>
    <col min="1" max="1" width="1.44140625" style="493" customWidth="1"/>
    <col min="2" max="2" width="25.33203125" style="493" customWidth="1"/>
    <col min="3" max="3" width="12.44140625" style="493" customWidth="1"/>
    <col min="4" max="4" width="13.6640625" style="493" customWidth="1"/>
    <col min="5" max="5" width="14.5546875" style="493" customWidth="1"/>
    <col min="6" max="6" width="14.109375" style="493" customWidth="1"/>
    <col min="7" max="8" width="12.6640625" style="493" customWidth="1"/>
    <col min="9" max="9" width="12.33203125" style="493" customWidth="1"/>
    <col min="10" max="10" width="11.44140625" style="493" customWidth="1"/>
    <col min="11" max="11" width="12.44140625" style="493" customWidth="1"/>
    <col min="12" max="12" width="12.6640625" style="493" customWidth="1"/>
    <col min="13" max="14" width="14" style="493" customWidth="1"/>
    <col min="15" max="16384" width="11.44140625" style="493"/>
  </cols>
  <sheetData>
    <row r="1" spans="2:15" ht="46.95" customHeight="1" x14ac:dyDescent="0.25">
      <c r="C1" s="619" t="s">
        <v>200</v>
      </c>
      <c r="D1" s="620"/>
      <c r="E1" s="620"/>
      <c r="F1" s="620"/>
      <c r="G1" s="620"/>
      <c r="H1" s="620"/>
      <c r="I1" s="620"/>
      <c r="J1" s="620"/>
      <c r="K1" s="620"/>
      <c r="M1" s="494"/>
      <c r="N1" s="495" t="s">
        <v>3693</v>
      </c>
    </row>
    <row r="2" spans="2:15" ht="17.25" customHeight="1" x14ac:dyDescent="0.25"/>
    <row r="3" spans="2:15" s="498" customFormat="1" x14ac:dyDescent="0.25">
      <c r="B3" s="496" t="s">
        <v>0</v>
      </c>
      <c r="C3" s="497"/>
      <c r="D3" s="497"/>
      <c r="E3" s="497"/>
      <c r="F3" s="497"/>
      <c r="G3" s="497"/>
      <c r="H3" s="497"/>
      <c r="I3" s="497"/>
      <c r="J3" s="497"/>
      <c r="K3" s="497"/>
      <c r="L3" s="497"/>
      <c r="M3" s="497"/>
      <c r="N3" s="497"/>
    </row>
    <row r="4" spans="2:15" ht="5.25" customHeight="1" x14ac:dyDescent="0.25"/>
    <row r="5" spans="2:15" s="498" customFormat="1" ht="15.75" customHeight="1" x14ac:dyDescent="0.25">
      <c r="B5" s="498" t="s">
        <v>618</v>
      </c>
      <c r="C5" s="621"/>
      <c r="D5" s="622"/>
      <c r="E5" s="499" t="s">
        <v>180</v>
      </c>
      <c r="F5" s="61"/>
      <c r="H5" s="498" t="s">
        <v>619</v>
      </c>
      <c r="J5" s="621"/>
      <c r="K5" s="622"/>
      <c r="L5" s="500" t="s">
        <v>166</v>
      </c>
      <c r="M5" s="501" t="e">
        <f>VLOOKUP(J5,Countries!A13:E155,5,FALSE)</f>
        <v>#N/A</v>
      </c>
      <c r="N5" s="502"/>
    </row>
    <row r="6" spans="2:15" s="498" customFormat="1" ht="6" customHeight="1" x14ac:dyDescent="0.25"/>
    <row r="7" spans="2:15" s="498" customFormat="1" ht="15.75" customHeight="1" x14ac:dyDescent="0.25">
      <c r="B7" s="498" t="s">
        <v>3332</v>
      </c>
      <c r="C7" s="621"/>
      <c r="D7" s="622"/>
      <c r="E7" s="499" t="s">
        <v>503</v>
      </c>
      <c r="F7" s="141"/>
      <c r="H7" s="498" t="s">
        <v>3561</v>
      </c>
      <c r="J7" s="621"/>
      <c r="K7" s="622"/>
    </row>
    <row r="8" spans="2:15" s="498" customFormat="1" ht="6.75" customHeight="1" x14ac:dyDescent="0.25">
      <c r="C8" s="499"/>
    </row>
    <row r="9" spans="2:15" s="498" customFormat="1" ht="15" customHeight="1" x14ac:dyDescent="0.25">
      <c r="B9" s="498" t="s">
        <v>514</v>
      </c>
      <c r="C9" s="140"/>
      <c r="E9" s="499" t="s">
        <v>551</v>
      </c>
      <c r="F9" s="128"/>
      <c r="H9" s="503" t="s">
        <v>515</v>
      </c>
      <c r="J9" s="127"/>
      <c r="L9" s="498" t="s">
        <v>3541</v>
      </c>
      <c r="M9" s="504">
        <f>C9+(J9*10)</f>
        <v>0</v>
      </c>
    </row>
    <row r="10" spans="2:15" s="498" customFormat="1" ht="17.25" customHeight="1" x14ac:dyDescent="0.3">
      <c r="H10" s="505"/>
    </row>
    <row r="11" spans="2:15" s="498" customFormat="1" x14ac:dyDescent="0.25">
      <c r="B11" s="496" t="s">
        <v>181</v>
      </c>
      <c r="C11" s="497"/>
      <c r="D11" s="497"/>
      <c r="E11" s="497"/>
      <c r="F11" s="497"/>
      <c r="G11" s="497"/>
      <c r="H11" s="497"/>
      <c r="I11" s="497"/>
      <c r="J11" s="497"/>
      <c r="K11" s="497"/>
      <c r="L11" s="497"/>
      <c r="M11" s="497"/>
      <c r="N11" s="497"/>
    </row>
    <row r="12" spans="2:15" ht="8.25" customHeight="1" x14ac:dyDescent="0.25">
      <c r="O12" s="498"/>
    </row>
    <row r="13" spans="2:15" s="498" customFormat="1" ht="15" customHeight="1" x14ac:dyDescent="0.25">
      <c r="B13" s="496" t="s">
        <v>3578</v>
      </c>
      <c r="E13" s="499" t="s">
        <v>3243</v>
      </c>
      <c r="F13" s="61" t="s">
        <v>3587</v>
      </c>
      <c r="H13" s="498" t="s">
        <v>3441</v>
      </c>
      <c r="J13" s="623" t="s">
        <v>3445</v>
      </c>
      <c r="K13" s="624"/>
    </row>
    <row r="14" spans="2:15" s="498" customFormat="1" ht="9" customHeight="1" x14ac:dyDescent="0.25"/>
    <row r="15" spans="2:15" s="498" customFormat="1" ht="13.5" customHeight="1" x14ac:dyDescent="0.25">
      <c r="B15" s="496" t="s">
        <v>3579</v>
      </c>
      <c r="C15" s="498" t="s">
        <v>3498</v>
      </c>
    </row>
    <row r="16" spans="2:15" s="498" customFormat="1" ht="8.25" customHeight="1" x14ac:dyDescent="0.25"/>
    <row r="17" spans="2:15" ht="14.4" customHeight="1" x14ac:dyDescent="0.25">
      <c r="C17" s="507" t="s">
        <v>3490</v>
      </c>
      <c r="F17" s="508" t="s">
        <v>3491</v>
      </c>
      <c r="G17" s="508"/>
      <c r="H17" s="508"/>
      <c r="I17" s="508" t="s">
        <v>3492</v>
      </c>
      <c r="J17" s="508"/>
      <c r="K17" s="508"/>
      <c r="L17" s="508" t="s">
        <v>3493</v>
      </c>
      <c r="O17" s="498"/>
    </row>
    <row r="18" spans="2:15" ht="14.4" customHeight="1" x14ac:dyDescent="0.25">
      <c r="B18" s="509" t="s">
        <v>3489</v>
      </c>
      <c r="C18" s="542"/>
      <c r="D18" s="493" t="str">
        <f>'Aircraft Calc'!A33</f>
        <v>Airbus 340-200/300*</v>
      </c>
      <c r="F18" s="543"/>
      <c r="G18" s="493" t="str">
        <f>'Aircraft Calc'!C33</f>
        <v>CFM56-5C2</v>
      </c>
      <c r="I18" s="543"/>
      <c r="J18" s="493" t="str">
        <f>'Aircraft Calc'!C34</f>
        <v>CFM56-5C4/P</v>
      </c>
      <c r="N18" s="510" t="str">
        <f>IF(AND((F18+I18+L18)&lt;&gt;1,C18&lt;&gt;0),"Must be 100%"," ")</f>
        <v xml:space="preserve"> </v>
      </c>
      <c r="O18" s="498"/>
    </row>
    <row r="19" spans="2:15" ht="14.4" customHeight="1" x14ac:dyDescent="0.25">
      <c r="C19" s="542"/>
      <c r="D19" s="493" t="str">
        <f>'Aircraft Calc'!A35</f>
        <v>Airbus 340-600*</v>
      </c>
      <c r="F19" s="544">
        <v>1</v>
      </c>
      <c r="G19" s="493" t="str">
        <f>'Aircraft Calc'!C35</f>
        <v>Trent 556-61</v>
      </c>
      <c r="N19" s="510" t="str">
        <f t="shared" ref="N19:N60" si="0">IF(AND((F19+I19+L19)&lt;&gt;1,C19&lt;&gt;0),"Must be 100%"," ")</f>
        <v xml:space="preserve"> </v>
      </c>
      <c r="O19" s="498"/>
    </row>
    <row r="20" spans="2:15" ht="14.4" customHeight="1" x14ac:dyDescent="0.25">
      <c r="C20" s="542"/>
      <c r="D20" s="493" t="str">
        <f>'Aircraft Calc'!A36</f>
        <v>Airbus 350-900/1000*</v>
      </c>
      <c r="F20" s="544"/>
      <c r="G20" s="493" t="str">
        <f>'Aircraft Calc'!C36</f>
        <v>Trent XWB-84</v>
      </c>
      <c r="I20" s="543"/>
      <c r="J20" s="493" t="str">
        <f>'Aircraft Calc'!C37</f>
        <v>Trent XWB-97</v>
      </c>
      <c r="N20" s="510" t="str">
        <f t="shared" si="0"/>
        <v xml:space="preserve"> </v>
      </c>
      <c r="O20" s="498"/>
    </row>
    <row r="21" spans="2:15" ht="14.4" customHeight="1" x14ac:dyDescent="0.25">
      <c r="C21" s="542"/>
      <c r="D21" s="493" t="str">
        <f>'Aircraft Calc'!A38</f>
        <v>Airbus 380-800*</v>
      </c>
      <c r="F21" s="544"/>
      <c r="G21" s="493" t="str">
        <f>'Aircraft Calc'!C38</f>
        <v>RR Trent 970</v>
      </c>
      <c r="I21" s="543">
        <v>1</v>
      </c>
      <c r="J21" s="493" t="str">
        <f>'Aircraft Calc'!C39</f>
        <v>GP7270</v>
      </c>
      <c r="N21" s="510" t="str">
        <f t="shared" si="0"/>
        <v xml:space="preserve"> </v>
      </c>
      <c r="O21" s="498"/>
    </row>
    <row r="22" spans="2:15" ht="14.4" customHeight="1" x14ac:dyDescent="0.25">
      <c r="C22" s="542"/>
      <c r="D22" s="493" t="str">
        <f>'Aircraft Calc'!A41</f>
        <v>An-124*</v>
      </c>
      <c r="F22" s="544">
        <v>1</v>
      </c>
      <c r="G22" s="493" t="str">
        <f>'Aircraft Calc'!C41</f>
        <v>D18T</v>
      </c>
      <c r="N22" s="510" t="str">
        <f t="shared" si="0"/>
        <v xml:space="preserve"> </v>
      </c>
      <c r="O22" s="498"/>
    </row>
    <row r="23" spans="2:15" ht="14.4" customHeight="1" x14ac:dyDescent="0.25">
      <c r="C23" s="542"/>
      <c r="D23" s="493" t="str">
        <f>'Aircraft Calc'!A65</f>
        <v>Boeing 747 (400)*</v>
      </c>
      <c r="F23" s="544"/>
      <c r="G23" s="493" t="str">
        <f>'Aircraft Calc'!C65</f>
        <v>CF6-80C2B1F</v>
      </c>
      <c r="I23" s="544"/>
      <c r="J23" s="493" t="str">
        <f>'Aircraft Calc'!C66</f>
        <v>PW4056</v>
      </c>
      <c r="N23" s="510" t="str">
        <f t="shared" si="0"/>
        <v xml:space="preserve"> </v>
      </c>
      <c r="O23" s="498"/>
    </row>
    <row r="24" spans="2:15" ht="14.4" customHeight="1" x14ac:dyDescent="0.25">
      <c r="C24" s="542"/>
      <c r="D24" s="493" t="str">
        <f>'Aircraft Calc'!A67</f>
        <v>Boeing 747-8*</v>
      </c>
      <c r="F24" s="544">
        <v>1</v>
      </c>
      <c r="G24" s="493" t="str">
        <f>'Aircraft Calc'!C67</f>
        <v>Genx-2B67B</v>
      </c>
      <c r="N24" s="510" t="str">
        <f t="shared" si="0"/>
        <v xml:space="preserve"> </v>
      </c>
      <c r="O24" s="498"/>
    </row>
    <row r="25" spans="2:15" ht="14.4" customHeight="1" x14ac:dyDescent="0.25">
      <c r="C25" s="542"/>
      <c r="D25" s="493" t="str">
        <f>'Aircraft Calc'!A72</f>
        <v>Boeing 777-200*</v>
      </c>
      <c r="F25" s="544">
        <v>1</v>
      </c>
      <c r="G25" s="493" t="str">
        <f>'Aircraft Calc'!C72</f>
        <v>PW4090</v>
      </c>
      <c r="N25" s="510" t="str">
        <f t="shared" si="0"/>
        <v xml:space="preserve"> </v>
      </c>
      <c r="O25" s="498"/>
    </row>
    <row r="26" spans="2:15" ht="14.4" customHeight="1" x14ac:dyDescent="0.25">
      <c r="C26" s="542"/>
      <c r="D26" s="493" t="str">
        <f>'Aircraft Calc'!A74</f>
        <v>Boeing 777-300ER*</v>
      </c>
      <c r="F26" s="544"/>
      <c r="G26" s="493" t="str">
        <f>'Aircraft Calc'!C73</f>
        <v>GE90-110B1</v>
      </c>
      <c r="I26" s="544">
        <v>1</v>
      </c>
      <c r="J26" s="493" t="str">
        <f>'Aircraft Calc'!C74</f>
        <v>GE90-115B</v>
      </c>
      <c r="N26" s="510" t="str">
        <f t="shared" si="0"/>
        <v xml:space="preserve"> </v>
      </c>
      <c r="O26" s="498"/>
    </row>
    <row r="27" spans="2:15" ht="14.4" customHeight="1" x14ac:dyDescent="0.25">
      <c r="C27" s="542"/>
      <c r="D27" s="493" t="str">
        <f>'Aircraft Calc'!A75</f>
        <v>Boeing 777-8/-9*</v>
      </c>
      <c r="F27" s="544">
        <v>1</v>
      </c>
      <c r="G27" s="493" t="str">
        <f>'Aircraft Calc'!C75</f>
        <v>GE9-X-8</v>
      </c>
      <c r="N27" s="510" t="str">
        <f t="shared" si="0"/>
        <v xml:space="preserve"> </v>
      </c>
      <c r="O27" s="498"/>
    </row>
    <row r="28" spans="2:15" ht="14.4" customHeight="1" x14ac:dyDescent="0.25">
      <c r="C28" s="542"/>
      <c r="D28" s="493" t="str">
        <f>'Aircraft Calc'!A78</f>
        <v>C17 Globemaster</v>
      </c>
      <c r="F28" s="544">
        <v>1</v>
      </c>
      <c r="G28" s="493" t="str">
        <f>'Aircraft Calc'!C78</f>
        <v>PW2040</v>
      </c>
      <c r="N28" s="510" t="str">
        <f t="shared" si="0"/>
        <v xml:space="preserve"> </v>
      </c>
      <c r="O28" s="498"/>
    </row>
    <row r="29" spans="2:15" ht="14.4" customHeight="1" x14ac:dyDescent="0.25">
      <c r="C29" s="542"/>
      <c r="D29" s="493" t="str">
        <f>'Aircraft Calc'!A138</f>
        <v>IL76*</v>
      </c>
      <c r="F29" s="544">
        <v>1</v>
      </c>
      <c r="G29" s="493" t="str">
        <f>'Aircraft Calc'!C138</f>
        <v>PS-90A</v>
      </c>
      <c r="N29" s="510" t="str">
        <f t="shared" si="0"/>
        <v xml:space="preserve"> </v>
      </c>
      <c r="O29" s="498"/>
    </row>
    <row r="30" spans="2:15" ht="7.5" customHeight="1" x14ac:dyDescent="0.25">
      <c r="N30" s="510"/>
      <c r="O30" s="498"/>
    </row>
    <row r="31" spans="2:15" ht="14.4" customHeight="1" x14ac:dyDescent="0.25">
      <c r="B31" s="509" t="s">
        <v>3494</v>
      </c>
      <c r="C31" s="542"/>
      <c r="D31" s="493" t="str">
        <f>'Aircraft Calc'!A9</f>
        <v>Airbus 300*</v>
      </c>
      <c r="F31" s="544">
        <v>1</v>
      </c>
      <c r="G31" s="493" t="str">
        <f>'Aircraft Calc'!C9</f>
        <v>CF6-50A</v>
      </c>
      <c r="N31" s="510" t="str">
        <f t="shared" si="0"/>
        <v xml:space="preserve"> </v>
      </c>
      <c r="O31" s="498"/>
    </row>
    <row r="32" spans="2:15" ht="14.4" customHeight="1" x14ac:dyDescent="0.25">
      <c r="C32" s="542"/>
      <c r="D32" s="493" t="str">
        <f>'Aircraft Calc'!A10</f>
        <v>Airbus 310*</v>
      </c>
      <c r="F32" s="544">
        <v>1</v>
      </c>
      <c r="G32" s="493" t="str">
        <f>'Aircraft Calc'!C10</f>
        <v>CF6-80C2A8</v>
      </c>
      <c r="N32" s="510" t="str">
        <f t="shared" si="0"/>
        <v xml:space="preserve"> </v>
      </c>
      <c r="O32" s="498"/>
    </row>
    <row r="33" spans="2:15" ht="14.4" customHeight="1" x14ac:dyDescent="0.25">
      <c r="C33" s="542"/>
      <c r="D33" s="493" t="str">
        <f>'Aircraft Calc'!A29</f>
        <v>Airbus 330-200*</v>
      </c>
      <c r="F33" s="544">
        <v>1</v>
      </c>
      <c r="G33" s="493" t="str">
        <f>'Aircraft Calc'!C28</f>
        <v>TRENT 772</v>
      </c>
      <c r="I33" s="544"/>
      <c r="J33" s="493" t="str">
        <f>'Aircraft Calc'!C29</f>
        <v>PW4168A</v>
      </c>
      <c r="N33" s="510" t="str">
        <f t="shared" si="0"/>
        <v xml:space="preserve"> </v>
      </c>
      <c r="O33" s="498"/>
    </row>
    <row r="34" spans="2:15" ht="14.4" customHeight="1" x14ac:dyDescent="0.25">
      <c r="C34" s="542"/>
      <c r="D34" s="493" t="str">
        <f>'Aircraft Calc'!A31</f>
        <v>Airbus 330-300*</v>
      </c>
      <c r="F34" s="544">
        <v>1</v>
      </c>
      <c r="G34" s="493" t="str">
        <f>'Aircraft Calc'!C30</f>
        <v>TRENT 772</v>
      </c>
      <c r="I34" s="544"/>
      <c r="J34" s="493" t="str">
        <f>'Aircraft Calc'!C31</f>
        <v>CF6-80E1A3</v>
      </c>
      <c r="N34" s="510" t="str">
        <f t="shared" si="0"/>
        <v xml:space="preserve"> </v>
      </c>
      <c r="O34" s="498"/>
    </row>
    <row r="35" spans="2:15" ht="14.4" customHeight="1" x14ac:dyDescent="0.25">
      <c r="C35" s="542"/>
      <c r="D35" s="493" t="str">
        <f>'Aircraft Calc'!A32</f>
        <v>Airbus 330Neo*</v>
      </c>
      <c r="F35" s="544">
        <v>1</v>
      </c>
      <c r="G35" s="493" t="str">
        <f>'Aircraft Calc'!C32</f>
        <v>Trent 7000-72</v>
      </c>
      <c r="N35" s="510"/>
      <c r="O35" s="498"/>
    </row>
    <row r="36" spans="2:15" ht="14.4" customHeight="1" x14ac:dyDescent="0.25">
      <c r="C36" s="542"/>
      <c r="D36" s="493" t="str">
        <f>'Aircraft Calc'!A69</f>
        <v>Boeing 767-200/300*</v>
      </c>
      <c r="F36" s="544"/>
      <c r="G36" s="493" t="str">
        <f>'Aircraft Calc'!C69</f>
        <v>CF6-80C2B6</v>
      </c>
      <c r="I36" s="544"/>
      <c r="J36" s="493" t="str">
        <f>'Aircraft Calc'!C70</f>
        <v>PW4060</v>
      </c>
      <c r="N36" s="510" t="str">
        <f>IF(AND((F36+I36+F37)&lt;&gt;1,C36&lt;&gt;0),"Must be 100%"," ")</f>
        <v xml:space="preserve"> </v>
      </c>
      <c r="O36" s="498"/>
    </row>
    <row r="37" spans="2:15" ht="14.4" customHeight="1" x14ac:dyDescent="0.25">
      <c r="C37" s="542"/>
      <c r="D37" s="493" t="str">
        <f>'Aircraft Calc'!A71</f>
        <v>Boeing 767-400*</v>
      </c>
      <c r="F37" s="544">
        <v>1</v>
      </c>
      <c r="G37" s="493" t="str">
        <f>'Aircraft Calc'!C71</f>
        <v>CF6-80C2B8F</v>
      </c>
      <c r="N37" s="510"/>
      <c r="O37" s="498"/>
    </row>
    <row r="38" spans="2:15" ht="14.4" customHeight="1" x14ac:dyDescent="0.25">
      <c r="C38" s="542"/>
      <c r="D38" s="493" t="str">
        <f>'Aircraft Calc'!A76</f>
        <v>Boeing 787-8/-1000*</v>
      </c>
      <c r="F38" s="544"/>
      <c r="G38" s="493" t="str">
        <f>'Aircraft Calc'!C76</f>
        <v>GEnx-1B70</v>
      </c>
      <c r="I38" s="544"/>
      <c r="J38" s="493" t="str">
        <f>'Aircraft Calc'!C77</f>
        <v>Trent 1000-A2</v>
      </c>
      <c r="N38" s="510" t="str">
        <f t="shared" si="0"/>
        <v xml:space="preserve"> </v>
      </c>
      <c r="O38" s="498"/>
    </row>
    <row r="39" spans="2:15" ht="14.4" customHeight="1" x14ac:dyDescent="0.25">
      <c r="C39" s="542"/>
      <c r="D39" s="493" t="str">
        <f>'Aircraft Calc'!A141</f>
        <v>MD11*</v>
      </c>
      <c r="F39" s="544">
        <v>1</v>
      </c>
      <c r="G39" s="493" t="str">
        <f>'Aircraft Calc'!C141</f>
        <v>PW4460</v>
      </c>
      <c r="N39" s="510" t="str">
        <f t="shared" si="0"/>
        <v xml:space="preserve"> </v>
      </c>
      <c r="O39" s="498"/>
    </row>
    <row r="40" spans="2:15" ht="14.4" customHeight="1" x14ac:dyDescent="0.25">
      <c r="C40" s="542"/>
      <c r="D40" s="493" t="str">
        <f>'Aircraft Calc'!A168</f>
        <v>TU-204*</v>
      </c>
      <c r="F40" s="544">
        <v>1</v>
      </c>
      <c r="G40" s="493" t="str">
        <f>'Aircraft Calc'!C168</f>
        <v>RB211-535E4</v>
      </c>
      <c r="N40" s="510" t="str">
        <f t="shared" si="0"/>
        <v xml:space="preserve"> </v>
      </c>
      <c r="O40" s="498"/>
    </row>
    <row r="41" spans="2:15" ht="6.75" customHeight="1" x14ac:dyDescent="0.25">
      <c r="N41" s="510"/>
      <c r="O41" s="498"/>
    </row>
    <row r="42" spans="2:15" ht="14.4" customHeight="1" x14ac:dyDescent="0.25">
      <c r="B42" s="509" t="s">
        <v>3495</v>
      </c>
      <c r="C42" s="542"/>
      <c r="D42" s="493" t="str">
        <f>'Aircraft Calc'!A7</f>
        <v>A220-100/BCS 100*</v>
      </c>
      <c r="F42" s="544">
        <v>1</v>
      </c>
      <c r="G42" s="493" t="str">
        <f>'Aircraft Calc'!C7</f>
        <v>PW1524G</v>
      </c>
      <c r="N42" s="510" t="str">
        <f t="shared" si="0"/>
        <v xml:space="preserve"> </v>
      </c>
      <c r="O42" s="498"/>
    </row>
    <row r="43" spans="2:15" ht="14.4" customHeight="1" x14ac:dyDescent="0.25">
      <c r="C43" s="542"/>
      <c r="D43" s="493" t="str">
        <f>'Aircraft Calc'!A8</f>
        <v>A220-300/BCS 300*</v>
      </c>
      <c r="F43" s="544">
        <v>1</v>
      </c>
      <c r="G43" s="493" t="str">
        <f>'Aircraft Calc'!C8</f>
        <v>PW1525G</v>
      </c>
      <c r="N43" s="510" t="str">
        <f t="shared" si="0"/>
        <v xml:space="preserve"> </v>
      </c>
      <c r="O43" s="498"/>
    </row>
    <row r="44" spans="2:15" ht="14.4" customHeight="1" x14ac:dyDescent="0.25">
      <c r="C44" s="542"/>
      <c r="D44" s="493" t="str">
        <f>'Aircraft Calc'!A11</f>
        <v>Airbus 318*</v>
      </c>
      <c r="F44" s="544">
        <v>0.5</v>
      </c>
      <c r="G44" s="493" t="str">
        <f>'Aircraft Calc'!C11</f>
        <v>CFM56-5B8/P</v>
      </c>
      <c r="I44" s="544">
        <v>0.5</v>
      </c>
      <c r="J44" s="493" t="str">
        <f>'Aircraft Calc'!C12</f>
        <v>CFM56-5B9/3</v>
      </c>
      <c r="N44" s="510" t="str">
        <f t="shared" si="0"/>
        <v xml:space="preserve"> </v>
      </c>
      <c r="O44" s="498"/>
    </row>
    <row r="45" spans="2:15" ht="14.4" customHeight="1" x14ac:dyDescent="0.25">
      <c r="C45" s="542"/>
      <c r="D45" s="493" t="str">
        <f>'Aircraft Calc'!A13</f>
        <v>Airbus 319*</v>
      </c>
      <c r="F45" s="544"/>
      <c r="G45" s="493" t="str">
        <f>'Aircraft Calc'!C13</f>
        <v>CFM56-5B5/P</v>
      </c>
      <c r="I45" s="544">
        <v>1</v>
      </c>
      <c r="J45" s="493" t="str">
        <f>'Aircraft Calc'!C14</f>
        <v>CFM56-5B6/2P</v>
      </c>
      <c r="N45" s="510" t="str">
        <f t="shared" si="0"/>
        <v xml:space="preserve"> </v>
      </c>
      <c r="O45" s="498"/>
    </row>
    <row r="46" spans="2:15" ht="14.4" customHeight="1" x14ac:dyDescent="0.25">
      <c r="C46" s="542"/>
      <c r="D46" s="493" t="str">
        <f>'Aircraft Calc'!A15</f>
        <v>Airbus 319Neo*</v>
      </c>
      <c r="F46" s="544">
        <v>0.5</v>
      </c>
      <c r="G46" s="493" t="str">
        <f>'Aircraft Calc'!C15</f>
        <v>LEAP-1A26</v>
      </c>
      <c r="I46" s="544">
        <v>0.5</v>
      </c>
      <c r="J46" s="493" t="str">
        <f>'Aircraft Calc'!C16</f>
        <v>PW1125G-JM</v>
      </c>
      <c r="N46" s="510" t="str">
        <f t="shared" si="0"/>
        <v xml:space="preserve"> </v>
      </c>
      <c r="O46" s="498"/>
    </row>
    <row r="47" spans="2:15" ht="14.4" customHeight="1" x14ac:dyDescent="0.25">
      <c r="C47" s="542"/>
      <c r="D47" s="493" t="str">
        <f>'Aircraft Calc'!A18</f>
        <v>Airbus 320*</v>
      </c>
      <c r="F47" s="544"/>
      <c r="G47" s="493" t="str">
        <f>'Aircraft Calc'!C18</f>
        <v>CFM56-5B4/2P</v>
      </c>
      <c r="I47" s="544">
        <v>1</v>
      </c>
      <c r="J47" s="493" t="str">
        <f>'Aircraft Calc'!C19</f>
        <v>CFM56-5B4/3</v>
      </c>
      <c r="N47" s="510" t="str">
        <f t="shared" si="0"/>
        <v xml:space="preserve"> </v>
      </c>
      <c r="O47" s="498"/>
    </row>
    <row r="48" spans="2:15" ht="14.4" customHeight="1" x14ac:dyDescent="0.25">
      <c r="C48" s="542"/>
      <c r="D48" s="493" t="str">
        <f>'Aircraft Calc'!A21</f>
        <v>Airbus 320Neo*</v>
      </c>
      <c r="F48" s="544">
        <v>0.5</v>
      </c>
      <c r="G48" s="493" t="str">
        <f>'Aircraft Calc'!C21</f>
        <v>LEAP-1A26</v>
      </c>
      <c r="I48" s="544">
        <v>0.5</v>
      </c>
      <c r="J48" s="493" t="str">
        <f>'Aircraft Calc'!C22</f>
        <v>PW1127G-JM</v>
      </c>
      <c r="N48" s="510" t="str">
        <f t="shared" si="0"/>
        <v xml:space="preserve"> </v>
      </c>
      <c r="O48" s="498"/>
    </row>
    <row r="49" spans="2:15" ht="14.4" customHeight="1" x14ac:dyDescent="0.25">
      <c r="C49" s="542"/>
      <c r="D49" s="493" t="str">
        <f>'Aircraft Calc'!A23</f>
        <v>Airbus 321*</v>
      </c>
      <c r="F49" s="544"/>
      <c r="G49" s="493" t="str">
        <f>'Aircraft Calc'!C23</f>
        <v>CFM56-5B1/2P</v>
      </c>
      <c r="I49" s="544">
        <v>1</v>
      </c>
      <c r="J49" s="493" t="str">
        <f>'Aircraft Calc'!C24</f>
        <v>CFM56-5B1/3</v>
      </c>
      <c r="L49" s="544"/>
      <c r="M49" s="493" t="str">
        <f>'Aircraft Calc'!C25</f>
        <v>V2533-A5</v>
      </c>
      <c r="N49" s="510" t="str">
        <f t="shared" si="0"/>
        <v xml:space="preserve"> </v>
      </c>
      <c r="O49" s="498"/>
    </row>
    <row r="50" spans="2:15" ht="14.4" customHeight="1" x14ac:dyDescent="0.25">
      <c r="C50" s="542"/>
      <c r="D50" s="493" t="str">
        <f>'Aircraft Calc'!A26</f>
        <v>Airbus 321Neo*</v>
      </c>
      <c r="F50" s="544">
        <v>1</v>
      </c>
      <c r="G50" s="493" t="str">
        <f>'Aircraft Calc'!C26</f>
        <v>LEAP-1A35</v>
      </c>
      <c r="N50" s="510" t="str">
        <f t="shared" si="0"/>
        <v xml:space="preserve"> </v>
      </c>
      <c r="O50" s="498"/>
    </row>
    <row r="51" spans="2:15" ht="14.4" customHeight="1" x14ac:dyDescent="0.25">
      <c r="C51" s="542"/>
      <c r="D51" s="493" t="str">
        <f>'Aircraft Calc'!A58</f>
        <v>Boeing 737-400*</v>
      </c>
      <c r="F51" s="544">
        <v>1</v>
      </c>
      <c r="G51" s="493" t="str">
        <f>'Aircraft Calc'!C58</f>
        <v>CFM56-3C-1</v>
      </c>
      <c r="N51" s="510" t="str">
        <f t="shared" si="0"/>
        <v xml:space="preserve"> </v>
      </c>
      <c r="O51" s="498"/>
    </row>
    <row r="52" spans="2:15" ht="14.4" customHeight="1" x14ac:dyDescent="0.25">
      <c r="C52" s="542"/>
      <c r="D52" s="493" t="str">
        <f>'Aircraft Calc'!A59</f>
        <v>Boeing 737-500*</v>
      </c>
      <c r="F52" s="544">
        <v>1</v>
      </c>
      <c r="G52" s="493" t="str">
        <f>'Aircraft Calc'!C59</f>
        <v>CFM56-3C-1</v>
      </c>
      <c r="N52" s="510" t="str">
        <f t="shared" si="0"/>
        <v xml:space="preserve"> </v>
      </c>
      <c r="O52" s="498"/>
    </row>
    <row r="53" spans="2:15" ht="14.4" customHeight="1" x14ac:dyDescent="0.25">
      <c r="C53" s="542"/>
      <c r="D53" s="493" t="str">
        <f>'Aircraft Calc'!A60</f>
        <v>Boeing 737-600*</v>
      </c>
      <c r="F53" s="544">
        <v>1</v>
      </c>
      <c r="G53" s="493" t="str">
        <f>'Aircraft Calc'!C60</f>
        <v>CFM56-7B20/2</v>
      </c>
      <c r="N53" s="510" t="str">
        <f t="shared" si="0"/>
        <v xml:space="preserve"> </v>
      </c>
      <c r="O53" s="498"/>
    </row>
    <row r="54" spans="2:15" ht="14.4" customHeight="1" x14ac:dyDescent="0.25">
      <c r="C54" s="542"/>
      <c r="D54" s="493" t="str">
        <f>'Aircraft Calc'!A61</f>
        <v>Boeing 737-700*</v>
      </c>
      <c r="F54" s="544">
        <v>1</v>
      </c>
      <c r="G54" s="493" t="str">
        <f>'Aircraft Calc'!C61</f>
        <v>CFM56-7B22/3</v>
      </c>
      <c r="N54" s="510" t="str">
        <f t="shared" si="0"/>
        <v xml:space="preserve"> </v>
      </c>
      <c r="O54" s="498"/>
    </row>
    <row r="55" spans="2:15" ht="14.4" customHeight="1" x14ac:dyDescent="0.25">
      <c r="C55" s="542"/>
      <c r="D55" s="493" t="str">
        <f>'Aircraft Calc'!A62</f>
        <v>Boeing 737-800*</v>
      </c>
      <c r="F55" s="544">
        <v>1</v>
      </c>
      <c r="G55" s="493" t="str">
        <f>'Aircraft Calc'!C62</f>
        <v>CFM56-7B26E</v>
      </c>
      <c r="N55" s="510" t="str">
        <f t="shared" si="0"/>
        <v xml:space="preserve"> </v>
      </c>
      <c r="O55" s="498"/>
    </row>
    <row r="56" spans="2:15" ht="14.4" customHeight="1" x14ac:dyDescent="0.25">
      <c r="C56" s="542"/>
      <c r="D56" s="493" t="str">
        <f>'Aircraft Calc'!A63</f>
        <v>Boeing 737-900*</v>
      </c>
      <c r="F56" s="544">
        <v>1</v>
      </c>
      <c r="G56" s="493" t="str">
        <f>'Aircraft Calc'!C63</f>
        <v>CFM56-7B27E/B3</v>
      </c>
      <c r="N56" s="510" t="str">
        <f t="shared" si="0"/>
        <v xml:space="preserve"> </v>
      </c>
      <c r="O56" s="498"/>
    </row>
    <row r="57" spans="2:15" ht="14.4" customHeight="1" x14ac:dyDescent="0.25">
      <c r="C57" s="542"/>
      <c r="D57" s="493" t="str">
        <f>'Aircraft Calc'!A64</f>
        <v>Boeing 737 Max*</v>
      </c>
      <c r="F57" s="544">
        <v>1</v>
      </c>
      <c r="G57" s="493" t="str">
        <f>'Aircraft Calc'!C64</f>
        <v>LEAP-1B25</v>
      </c>
      <c r="N57" s="510" t="str">
        <f t="shared" si="0"/>
        <v xml:space="preserve"> </v>
      </c>
      <c r="O57" s="498"/>
    </row>
    <row r="58" spans="2:15" ht="14.4" customHeight="1" x14ac:dyDescent="0.25">
      <c r="C58" s="542"/>
      <c r="D58" s="493" t="str">
        <f>'Aircraft Calc'!A68</f>
        <v>Boeing 757*</v>
      </c>
      <c r="F58" s="544">
        <v>1</v>
      </c>
      <c r="G58" s="493" t="str">
        <f>'Aircraft Calc'!C68</f>
        <v>RB211-535E4B</v>
      </c>
      <c r="N58" s="510" t="str">
        <f t="shared" si="0"/>
        <v xml:space="preserve"> </v>
      </c>
      <c r="O58" s="498"/>
    </row>
    <row r="59" spans="2:15" ht="14.4" customHeight="1" x14ac:dyDescent="0.25">
      <c r="C59" s="542"/>
      <c r="D59" s="493" t="str">
        <f>'Aircraft Calc'!A142</f>
        <v>MD83 (80-87)*</v>
      </c>
      <c r="F59" s="544">
        <v>1</v>
      </c>
      <c r="G59" s="493" t="str">
        <f>'Aircraft Calc'!C142</f>
        <v>JT8D-219</v>
      </c>
      <c r="N59" s="510" t="str">
        <f t="shared" si="0"/>
        <v xml:space="preserve"> </v>
      </c>
      <c r="O59" s="498"/>
    </row>
    <row r="60" spans="2:15" ht="14.4" customHeight="1" x14ac:dyDescent="0.25">
      <c r="C60" s="542"/>
      <c r="D60" s="493" t="str">
        <f>'Aircraft Calc'!A143</f>
        <v>MD95*</v>
      </c>
      <c r="F60" s="544">
        <v>1</v>
      </c>
      <c r="G60" s="493" t="str">
        <f>'Aircraft Calc'!C143</f>
        <v>V2525-D5</v>
      </c>
      <c r="N60" s="510" t="str">
        <f t="shared" si="0"/>
        <v xml:space="preserve"> </v>
      </c>
      <c r="O60" s="498"/>
    </row>
    <row r="61" spans="2:15" ht="6.75" customHeight="1" thickBot="1" x14ac:dyDescent="0.3">
      <c r="C61" s="511"/>
      <c r="D61" s="511"/>
      <c r="E61" s="511"/>
      <c r="F61" s="511"/>
      <c r="G61" s="511"/>
      <c r="H61" s="511"/>
      <c r="I61" s="511"/>
      <c r="J61" s="511"/>
      <c r="K61" s="511"/>
      <c r="L61" s="511"/>
      <c r="M61" s="511"/>
      <c r="N61" s="511"/>
      <c r="O61" s="498"/>
    </row>
    <row r="62" spans="2:15" ht="8.25" customHeight="1" x14ac:dyDescent="0.25">
      <c r="O62" s="498"/>
    </row>
    <row r="63" spans="2:15" s="512" customFormat="1" ht="14.4" customHeight="1" x14ac:dyDescent="0.25">
      <c r="B63" s="509" t="s">
        <v>3505</v>
      </c>
      <c r="C63" s="128"/>
      <c r="D63" s="512" t="str">
        <f>CONCATENATE('Aircraft Calc'!A5," (",'Aircraft Calc'!C5,")")</f>
        <v>A109 (PW207D)</v>
      </c>
      <c r="G63" s="128"/>
      <c r="H63" s="512" t="str">
        <f>CONCATENATE('Aircraft Calc'!A100," (",'Aircraft Calc'!C100,")")</f>
        <v>Dash 7 (PT6A-50)</v>
      </c>
      <c r="K63" s="128"/>
      <c r="L63" s="512" t="str">
        <f>CONCATENATE('Aircraft Calc'!A144," (",'Aircraft Calc'!C144,")")</f>
        <v>Piaggio P180 (PT6A-66)</v>
      </c>
      <c r="O63" s="513"/>
    </row>
    <row r="64" spans="2:15" s="512" customFormat="1" x14ac:dyDescent="0.25">
      <c r="B64" s="509" t="s">
        <v>3504</v>
      </c>
      <c r="C64" s="128"/>
      <c r="D64" s="512" t="str">
        <f>CONCATENATE('Aircraft Calc'!A6," (",'Aircraft Calc'!C6,")")</f>
        <v>A119 (PT6B-37)</v>
      </c>
      <c r="G64" s="128"/>
      <c r="H64" s="512" t="str">
        <f>CONCATENATE('Aircraft Calc'!A101," (",'Aircraft Calc'!C101,")")</f>
        <v>Dash 8-400 (PW150)</v>
      </c>
      <c r="K64" s="128"/>
      <c r="L64" s="512" t="str">
        <f>CONCATENATE('Aircraft Calc'!A145," (",'Aircraft Calc'!C145,")")</f>
        <v>Pilatus PC-12 (PT6A-67B)</v>
      </c>
    </row>
    <row r="65" spans="3:12" s="512" customFormat="1" x14ac:dyDescent="0.25">
      <c r="C65" s="128"/>
      <c r="D65" s="512" t="str">
        <f>CONCATENATE('Aircraft Calc'!A40," (",'Aircraft Calc'!C40,")")</f>
        <v>AN-72/74* (D-36)</v>
      </c>
      <c r="G65" s="128"/>
      <c r="H65" s="512" t="str">
        <f>CONCATENATE('Aircraft Calc'!A102," (",'Aircraft Calc'!C102,")")</f>
        <v>DHC-6 Twin Otter (PT6A-27)</v>
      </c>
      <c r="K65" s="128"/>
      <c r="L65" s="512" t="str">
        <f>CONCATENATE('Aircraft Calc'!A146," (",'Aircraft Calc'!C146,")")</f>
        <v>Pilatus PC-21 (PT6A-68B)</v>
      </c>
    </row>
    <row r="66" spans="3:12" s="512" customFormat="1" x14ac:dyDescent="0.25">
      <c r="C66" s="128"/>
      <c r="D66" s="512" t="str">
        <f>CONCATENATE('Aircraft Calc'!A42," (",'Aircraft Calc'!C42,")")</f>
        <v>ATR-42-300 (PW127E)</v>
      </c>
      <c r="G66" s="128"/>
      <c r="H66" s="512" t="str">
        <f>CONCATENATE('Aircraft Calc'!A103," (",'Aircraft Calc'!C103,")")</f>
        <v>Diamond DA-42 (TAE (135hp))</v>
      </c>
      <c r="K66" s="128"/>
      <c r="L66" s="512" t="str">
        <f>CONCATENATE('Aircraft Calc'!A147," (",'Aircraft Calc'!C147,")")</f>
        <v>Pilatus PC-9 (PT6A-62)</v>
      </c>
    </row>
    <row r="67" spans="3:12" s="512" customFormat="1" x14ac:dyDescent="0.25">
      <c r="C67" s="128"/>
      <c r="D67" s="512" t="str">
        <f>CONCATENATE('Aircraft Calc'!A43," (",'Aircraft Calc'!C43,")")</f>
        <v>ATR-72-200 (PW127F)</v>
      </c>
      <c r="G67" s="128"/>
      <c r="H67" s="512" t="str">
        <f>CONCATENATE('Aircraft Calc'!A104," (",'Aircraft Calc'!C104,")")</f>
        <v>Dornier 228 (TPE-331-5)</v>
      </c>
      <c r="K67" s="128"/>
      <c r="L67" s="512" t="str">
        <f>CONCATENATE('Aircraft Calc'!A148," (",'Aircraft Calc'!C148,")")</f>
        <v>Piper PA31 Cheyenne (PT6A-28)</v>
      </c>
    </row>
    <row r="68" spans="3:12" s="512" customFormat="1" x14ac:dyDescent="0.25">
      <c r="C68" s="128"/>
      <c r="D68" s="512" t="str">
        <f>CONCATENATE('Aircraft Calc'!A44," (",'Aircraft Calc'!C44,")")</f>
        <v>B06 (DDA250-C20R)</v>
      </c>
      <c r="G68" s="128"/>
      <c r="H68" s="512" t="str">
        <f>CONCATENATE('Aircraft Calc'!A105," (",'Aircraft Calc'!C105,")")</f>
        <v>Dornier 328 (Jet)* (PW306B)</v>
      </c>
      <c r="K68" s="128"/>
      <c r="L68" s="512" t="str">
        <f>CONCATENATE('Aircraft Calc'!A149," (",'Aircraft Calc'!C149,")")</f>
        <v>Piper PA32 Saratoga (IO-540-KIG5)</v>
      </c>
    </row>
    <row r="69" spans="3:12" s="512" customFormat="1" x14ac:dyDescent="0.25">
      <c r="C69" s="128"/>
      <c r="D69" s="512" t="str">
        <f>CONCATENATE('Aircraft Calc'!A45," (",'Aircraft Calc'!C45,")")</f>
        <v>BAe 146-300* (LF507)</v>
      </c>
      <c r="G69" s="128"/>
      <c r="H69" s="512" t="str">
        <f>CONCATENATE('Aircraft Calc'!A106," (",'Aircraft Calc'!C106,")")</f>
        <v>Dornier 328 (TP) (PW119B)</v>
      </c>
      <c r="K69" s="128"/>
      <c r="L69" s="512" t="str">
        <f>CONCATENATE('Aircraft Calc'!A150," (",'Aircraft Calc'!C150,")")</f>
        <v>Piper PA34 Seneca (TSIO-360RB)</v>
      </c>
    </row>
    <row r="70" spans="3:12" s="512" customFormat="1" x14ac:dyDescent="0.25">
      <c r="C70" s="128"/>
      <c r="D70" s="512" t="str">
        <f>CONCATENATE('Aircraft Calc'!A46," (",'Aircraft Calc'!C46,")")</f>
        <v>BAe ATP (PW124)</v>
      </c>
      <c r="G70" s="128"/>
      <c r="H70" s="512" t="str">
        <f>CONCATENATE('Aircraft Calc'!A107," (",'Aircraft Calc'!C107,")")</f>
        <v>Eclipse 500 (EJ22)</v>
      </c>
      <c r="K70" s="128"/>
      <c r="L70" s="512" t="str">
        <f>CONCATENATE('Aircraft Calc'!A151," (",'Aircraft Calc'!C151,")")</f>
        <v>Piper PA46 Malibu (PT6A-42)</v>
      </c>
    </row>
    <row r="71" spans="3:12" s="512" customFormat="1" x14ac:dyDescent="0.25">
      <c r="C71" s="128"/>
      <c r="D71" s="512" t="str">
        <f>CONCATENATE('Aircraft Calc'!A47," (",'Aircraft Calc'!C47,")")</f>
        <v>BAe Jetstream 41 (TPE331-14GR)</v>
      </c>
      <c r="G71" s="128"/>
      <c r="H71" s="512" t="str">
        <f>CONCATENATE('Aircraft Calc'!A108," (",'Aircraft Calc'!C108,")")</f>
        <v>EMB 120 (PW118A)</v>
      </c>
      <c r="K71" s="128"/>
      <c r="L71" s="512" t="str">
        <f>CONCATENATE('Aircraft Calc'!A152," (",'Aircraft Calc'!C152,")")</f>
        <v>REIMS F406 Caravan (PT6A-112)</v>
      </c>
    </row>
    <row r="72" spans="3:12" s="512" customFormat="1" x14ac:dyDescent="0.25">
      <c r="C72" s="128"/>
      <c r="D72" s="512" t="str">
        <f>CONCATENATE('Aircraft Calc'!A48," (",'Aircraft Calc'!C48,")")</f>
        <v>Beech 1900D (PT6A-67D)</v>
      </c>
      <c r="G72" s="128"/>
      <c r="H72" s="512" t="str">
        <f>CONCATENATE('Aircraft Calc'!A109," (",'Aircraft Calc'!C109,")")</f>
        <v>EMB 135/145* (AE3007A)</v>
      </c>
      <c r="K72" s="128"/>
      <c r="L72" s="512" t="str">
        <f>CONCATENATE('Aircraft Calc'!A153," (",'Aircraft Calc'!C153,")")</f>
        <v>RJ85* (LF507)</v>
      </c>
    </row>
    <row r="73" spans="3:12" s="512" customFormat="1" x14ac:dyDescent="0.25">
      <c r="C73" s="128"/>
      <c r="D73" s="512" t="str">
        <f>CONCATENATE('Aircraft Calc'!A49," (",'Aircraft Calc'!C49,")")</f>
        <v>Beech 400* (FJ44-2A)</v>
      </c>
      <c r="G73" s="128"/>
      <c r="H73" s="512" t="str">
        <f>CONCATENATE('Aircraft Calc'!A110," (",'Aircraft Calc'!C110,")")</f>
        <v>EMB 170* (CF34-8E5)</v>
      </c>
      <c r="K73" s="128"/>
      <c r="L73" s="512" t="str">
        <f>CONCATENATE('Aircraft Calc'!A154," (",'Aircraft Calc'!C154,")")</f>
        <v>Robinson R22/44 (HO-540)</v>
      </c>
    </row>
    <row r="74" spans="3:12" s="512" customFormat="1" x14ac:dyDescent="0.25">
      <c r="C74" s="128"/>
      <c r="D74" s="512" t="str">
        <f>CONCATENATE('Aircraft Calc'!A50," (",'Aircraft Calc'!C50,")")</f>
        <v>Beech Super King 200B (PT6A-42)</v>
      </c>
      <c r="G74" s="128"/>
      <c r="H74" s="512" t="str">
        <f>CONCATENATE('Aircraft Calc'!A111," (",'Aircraft Calc'!C111,")")</f>
        <v>EMB 190* (CF34-10E5A1)</v>
      </c>
      <c r="K74" s="128"/>
      <c r="L74" s="512" t="str">
        <f>CONCATENATE('Aircraft Calc'!A155," (",'Aircraft Calc'!C155,")")</f>
        <v>RRJ95-LR (SaM146-1S18)</v>
      </c>
    </row>
    <row r="75" spans="3:12" s="512" customFormat="1" x14ac:dyDescent="0.25">
      <c r="C75" s="128"/>
      <c r="D75" s="512" t="str">
        <f>CONCATENATE('Aircraft Calc'!A51," (",'Aircraft Calc'!C51,")")</f>
        <v>Beech Super King 350 (PT6A-60A)</v>
      </c>
      <c r="G75" s="128"/>
      <c r="H75" s="512" t="str">
        <f>CONCATENATE('Aircraft Calc'!A112," (",'Aircraft Calc'!C112,")")</f>
        <v>EMB 314 (PT6A-68)</v>
      </c>
      <c r="K75" s="128"/>
      <c r="L75" s="512" t="str">
        <f>CONCATENATE('Aircraft Calc'!A156," (",'Aircraft Calc'!C156,")")</f>
        <v>S-70A (T700-GE-701C)</v>
      </c>
    </row>
    <row r="76" spans="3:12" s="512" customFormat="1" x14ac:dyDescent="0.25">
      <c r="C76" s="128"/>
      <c r="D76" s="512" t="str">
        <f>CONCATENATE('Aircraft Calc'!A52," (",'Aircraft Calc'!C52,")")</f>
        <v>Beech T-6A Texan (PT6A-68)</v>
      </c>
      <c r="G76" s="128"/>
      <c r="H76" s="512" t="str">
        <f>CONCATENATE('Aircraft Calc'!A113," (",'Aircraft Calc'!C113,")")</f>
        <v>EMB Legacy* (AE3007-A1P)</v>
      </c>
      <c r="K76" s="128"/>
      <c r="L76" s="512" t="str">
        <f>CONCATENATE('Aircraft Calc'!A157," (",'Aircraft Calc'!C157,")")</f>
        <v>S-76C (PT6B-36A)</v>
      </c>
    </row>
    <row r="77" spans="3:12" s="512" customFormat="1" x14ac:dyDescent="0.25">
      <c r="C77" s="128"/>
      <c r="D77" s="512" t="str">
        <f>CONCATENATE('Aircraft Calc'!A53," (",'Aircraft Calc'!C53,")")</f>
        <v>Bell 206B (Allison 250-C20J)</v>
      </c>
      <c r="G77" s="128"/>
      <c r="H77" s="512" t="str">
        <f>CONCATENATE('Aircraft Calc'!A114," (",'Aircraft Calc'!C114,")")</f>
        <v>Eurocopter AS332 (Makila 1A2)</v>
      </c>
      <c r="K77" s="128"/>
      <c r="L77" s="512" t="str">
        <f>CONCATENATE('Aircraft Calc'!A158," (",'Aircraft Calc'!C158,")")</f>
        <v>Saab 2000 (GMA 2100A)</v>
      </c>
    </row>
    <row r="78" spans="3:12" s="512" customFormat="1" x14ac:dyDescent="0.25">
      <c r="C78" s="128"/>
      <c r="D78" s="512" t="str">
        <f>CONCATENATE('Aircraft Calc'!A54," (",'Aircraft Calc'!C54,")")</f>
        <v>Bell 230 (Allison 250-C30G2)</v>
      </c>
      <c r="G78" s="128"/>
      <c r="H78" s="512" t="str">
        <f>CONCATENATE('Aircraft Calc'!A115," (",'Aircraft Calc'!C115,")")</f>
        <v>Eurocopter AS350 (Arriel 1D1)</v>
      </c>
      <c r="K78" s="128"/>
      <c r="L78" s="512" t="str">
        <f>CONCATENATE('Aircraft Calc'!A159," (",'Aircraft Calc'!C159,")")</f>
        <v>Saab 340 (CT7-9B)</v>
      </c>
    </row>
    <row r="79" spans="3:12" s="512" customFormat="1" x14ac:dyDescent="0.25">
      <c r="C79" s="128"/>
      <c r="D79" s="512" t="str">
        <f>CONCATENATE('Aircraft Calc'!A55," (",'Aircraft Calc'!C55,")")</f>
        <v>Bell 407/MDD 600N (Allison 250-C47)</v>
      </c>
      <c r="G79" s="128"/>
      <c r="H79" s="512" t="str">
        <f>CONCATENATE('Aircraft Calc'!A116," (",'Aircraft Calc'!C116,")")</f>
        <v>Eurocopter AS365 (Arriel 1C2)</v>
      </c>
      <c r="K79" s="128"/>
      <c r="L79" s="512" t="str">
        <f>CONCATENATE('Aircraft Calc'!A160," (",'Aircraft Calc'!C160,")")</f>
        <v>SH-60 Seahawk (T700-GE-401C)</v>
      </c>
    </row>
    <row r="80" spans="3:12" s="512" customFormat="1" x14ac:dyDescent="0.25">
      <c r="C80" s="128"/>
      <c r="D80" s="512" t="str">
        <f>CONCATENATE('Aircraft Calc'!A56," (",'Aircraft Calc'!C56,")")</f>
        <v>Bell 430 (Allison 250-C40B)</v>
      </c>
      <c r="G80" s="128"/>
      <c r="H80" s="512" t="str">
        <f>CONCATENATE('Aircraft Calc'!A117," (",'Aircraft Calc'!C117,")")</f>
        <v>Eurocopter EC130/135 (PW206B)</v>
      </c>
      <c r="K80" s="128"/>
      <c r="L80" s="512" t="str">
        <f>CONCATENATE('Aircraft Calc'!A161," (",'Aircraft Calc'!C161,")")</f>
        <v>Shorts 330 (PT6A-45)</v>
      </c>
    </row>
    <row r="81" spans="3:12" s="512" customFormat="1" x14ac:dyDescent="0.25">
      <c r="C81" s="128"/>
      <c r="D81" s="512" t="str">
        <f>CONCATENATE('Aircraft Calc'!A57," (",'Aircraft Calc'!C57,")")</f>
        <v>Bell AB119 (PT6C-67C)</v>
      </c>
      <c r="G81" s="128"/>
      <c r="H81" s="512" t="str">
        <f>CONCATENATE('Aircraft Calc'!A118," (",'Aircraft Calc'!C118,")")</f>
        <v>Eurocopter EC145/155 (ARRIEL 1E1)</v>
      </c>
      <c r="K81" s="128"/>
      <c r="L81" s="512" t="str">
        <f>CONCATENATE('Aircraft Calc'!A162," (",'Aircraft Calc'!C162,")")</f>
        <v>Shorts 360 (PT6A-65AR)</v>
      </c>
    </row>
    <row r="82" spans="3:12" s="512" customFormat="1" x14ac:dyDescent="0.25">
      <c r="C82" s="128"/>
      <c r="D82" s="512" t="str">
        <f>CONCATENATE('Aircraft Calc'!A79," (",'Aircraft Calc'!C79,")")</f>
        <v>C-27 Spartan (Allison AE2100)</v>
      </c>
      <c r="G82" s="128"/>
      <c r="H82" s="512" t="str">
        <f>CONCATENATE('Aircraft Calc'!A119," (",'Aircraft Calc'!C119,")")</f>
        <v>Falcon 2000* (TFE731-3)</v>
      </c>
      <c r="K82" s="128"/>
      <c r="L82" s="512" t="str">
        <f>CONCATENATE('Aircraft Calc'!A163," (",'Aircraft Calc'!C163,")")</f>
        <v>Super Lynx 300 (CTS800-4N)</v>
      </c>
    </row>
    <row r="83" spans="3:12" s="512" customFormat="1" x14ac:dyDescent="0.25">
      <c r="C83" s="128"/>
      <c r="D83" s="512" t="str">
        <f>CONCATENATE('Aircraft Calc'!A80," (",'Aircraft Calc'!C80,")")</f>
        <v>Canadair Challenger* (LF502-L)</v>
      </c>
      <c r="G83" s="128"/>
      <c r="H83" s="512" t="str">
        <f>CONCATENATE('Aircraft Calc'!A120," (",'Aircraft Calc'!C120,")")</f>
        <v>Falcon 50* (TFE731-40)</v>
      </c>
      <c r="K83" s="128"/>
      <c r="L83" s="512" t="str">
        <f>CONCATENATE('Aircraft Calc'!A164," (",'Aircraft Calc'!C164,")")</f>
        <v>Swearingen SJ30* (FJ44)</v>
      </c>
    </row>
    <row r="84" spans="3:12" s="512" customFormat="1" x14ac:dyDescent="0.25">
      <c r="C84" s="128"/>
      <c r="D84" s="512" t="str">
        <f>CONCATENATE('Aircraft Calc'!A81," (",'Aircraft Calc'!C81,")")</f>
        <v>Casa C-212 (TPE331-12J)</v>
      </c>
      <c r="G84" s="128"/>
      <c r="H84" s="512" t="str">
        <f>CONCATENATE('Aircraft Calc'!A121," (",'Aircraft Calc'!C121,")")</f>
        <v>Falcon 900EX* (TFE731-60)</v>
      </c>
      <c r="K84" s="128"/>
      <c r="L84" s="512" t="str">
        <f>CONCATENATE('Aircraft Calc'!A165," (",'Aircraft Calc'!C165,")")</f>
        <v>TB-200 Tobago (IO-360-A1B6)</v>
      </c>
    </row>
    <row r="85" spans="3:12" s="512" customFormat="1" x14ac:dyDescent="0.25">
      <c r="C85" s="128"/>
      <c r="D85" s="512" t="str">
        <f>CONCATENATE('Aircraft Calc'!A82," (",'Aircraft Calc'!C82,")")</f>
        <v>Casa CN-235 (CT7-9C)</v>
      </c>
      <c r="G85" s="128"/>
      <c r="H85" s="512" t="str">
        <f>CONCATENATE('Aircraft Calc'!A122," (",'Aircraft Calc'!C122,")")</f>
        <v>Fokker F100* (Tay 620-15)</v>
      </c>
      <c r="K85" s="128"/>
      <c r="L85" s="512" t="str">
        <f>CONCATENATE('Aircraft Calc'!A166," (",'Aircraft Calc'!C166,")")</f>
        <v>TB-360 Tangara (O-320-D1D)</v>
      </c>
    </row>
    <row r="86" spans="3:12" s="512" customFormat="1" x14ac:dyDescent="0.25">
      <c r="C86" s="128"/>
      <c r="D86" s="512" t="str">
        <f>CONCATENATE('Aircraft Calc'!A83," (",'Aircraft Calc'!C83,")")</f>
        <v>Cessna 172 (IO-360-L2A)</v>
      </c>
      <c r="G86" s="128"/>
      <c r="H86" s="512" t="str">
        <f>CONCATENATE('Aircraft Calc'!A123," (",'Aircraft Calc'!C123,")")</f>
        <v>Fokker F27 (RR Dart 528)</v>
      </c>
      <c r="K86" s="128"/>
      <c r="L86" s="512" t="str">
        <f>CONCATENATE('Aircraft Calc'!A167," (",'Aircraft Calc'!C167,")")</f>
        <v>TBM 700 (PT6A-64)</v>
      </c>
    </row>
    <row r="87" spans="3:12" s="512" customFormat="1" x14ac:dyDescent="0.25">
      <c r="C87" s="128"/>
      <c r="D87" s="512" t="str">
        <f>CONCATENATE('Aircraft Calc'!A84," (",'Aircraft Calc'!C84,")")</f>
        <v>Cessna 182 (IO-540-AB1A5)</v>
      </c>
      <c r="G87" s="128"/>
      <c r="H87" s="512" t="str">
        <f>CONCATENATE('Aircraft Calc'!A124," (",'Aircraft Calc'!C124,")")</f>
        <v>Fokker F28* (Spey 555-15)</v>
      </c>
      <c r="K87" s="128"/>
      <c r="L87" s="512" t="str">
        <f>CONCATENATE('Aircraft Calc'!A169," (",'Aircraft Calc'!C169,")")</f>
        <v>Yak-42* (D-36)</v>
      </c>
    </row>
    <row r="88" spans="3:12" s="512" customFormat="1" x14ac:dyDescent="0.25">
      <c r="C88" s="128"/>
      <c r="D88" s="512" t="str">
        <f>CONCATENATE('Aircraft Calc'!A85," (",'Aircraft Calc'!C85,")")</f>
        <v>Cessna 208B (PT6A-114D)</v>
      </c>
      <c r="G88" s="128"/>
      <c r="H88" s="512" t="str">
        <f>CONCATENATE('Aircraft Calc'!A125," (",'Aircraft Calc'!C125,")")</f>
        <v>Fokker F50 (PW125B)</v>
      </c>
    </row>
    <row r="89" spans="3:12" s="512" customFormat="1" x14ac:dyDescent="0.25">
      <c r="C89" s="128"/>
      <c r="D89" s="512" t="str">
        <f>CONCATENATE('Aircraft Calc'!A86," (",'Aircraft Calc'!C86,")")</f>
        <v>Cessna 402 (TSIO-520E)</v>
      </c>
      <c r="G89" s="128"/>
      <c r="H89" s="512" t="str">
        <f>CONCATENATE('Aircraft Calc'!A126," (",'Aircraft Calc'!C126,")")</f>
        <v>Fokker F70* (Tay 620-15)</v>
      </c>
      <c r="K89" s="128"/>
      <c r="L89" s="512" t="str">
        <f>('Aircraft Calc'!A171)</f>
        <v>Other 1 engine helicopter</v>
      </c>
    </row>
    <row r="90" spans="3:12" s="512" customFormat="1" x14ac:dyDescent="0.25">
      <c r="C90" s="128"/>
      <c r="D90" s="512" t="str">
        <f>CONCATENATE('Aircraft Calc'!A87," (",'Aircraft Calc'!C87,")")</f>
        <v>Cessna 525* (FJ44-1A)</v>
      </c>
      <c r="G90" s="128"/>
      <c r="H90" s="512" t="str">
        <f>CONCATENATE('Aircraft Calc'!A127," (",'Aircraft Calc'!C127,")")</f>
        <v>Galaxy* (PW306A)</v>
      </c>
      <c r="K90" s="128"/>
      <c r="L90" s="512" t="str">
        <f>('Aircraft Calc'!A172)</f>
        <v>Other 1 piston aircraft</v>
      </c>
    </row>
    <row r="91" spans="3:12" s="512" customFormat="1" x14ac:dyDescent="0.25">
      <c r="C91" s="128"/>
      <c r="D91" s="512" t="str">
        <f>CONCATENATE('Aircraft Calc'!A88," (",'Aircraft Calc'!C88,")")</f>
        <v>Cessna 560XL* (PW545A)</v>
      </c>
      <c r="G91" s="128"/>
      <c r="H91" s="512" t="str">
        <f>CONCATENATE('Aircraft Calc'!A128," (",'Aircraft Calc'!C128,")")</f>
        <v>GLEX* (BR710-48)</v>
      </c>
      <c r="K91" s="128"/>
      <c r="L91" s="512" t="str">
        <f>('Aircraft Calc'!A173)</f>
        <v>Other 1 turbo aircraft</v>
      </c>
    </row>
    <row r="92" spans="3:12" s="512" customFormat="1" x14ac:dyDescent="0.25">
      <c r="C92" s="128"/>
      <c r="D92" s="512" t="str">
        <f>CONCATENATE('Aircraft Calc'!A89," (",'Aircraft Calc'!C89,")")</f>
        <v>Cessna 680* (PW306C)</v>
      </c>
      <c r="G92" s="128"/>
      <c r="H92" s="512" t="str">
        <f>CONCATENATE('Aircraft Calc'!A129," (",'Aircraft Calc'!C129,")")</f>
        <v>Global 5000* (BR710-48A2)</v>
      </c>
      <c r="K92" s="128"/>
      <c r="L92" s="512" t="str">
        <f>('Aircraft Calc'!A174)</f>
        <v>Other 2 engine bizjets*</v>
      </c>
    </row>
    <row r="93" spans="3:12" s="512" customFormat="1" x14ac:dyDescent="0.25">
      <c r="C93" s="128"/>
      <c r="D93" s="512" t="str">
        <f>CONCATENATE('Aircraft Calc'!A90," (",'Aircraft Calc'!C90,")")</f>
        <v>Cessna 750* (GMA 3007C)</v>
      </c>
      <c r="G93" s="128"/>
      <c r="H93" s="512" t="str">
        <f>CONCATENATE('Aircraft Calc'!A130," (",'Aircraft Calc'!C130,")")</f>
        <v>Gulfstream G200* (PW306A)</v>
      </c>
      <c r="K93" s="128"/>
      <c r="L93" s="512" t="str">
        <f>('Aircraft Calc'!A175)</f>
        <v>Other 2 engine helicopter</v>
      </c>
    </row>
    <row r="94" spans="3:12" s="512" customFormat="1" x14ac:dyDescent="0.25">
      <c r="C94" s="128"/>
      <c r="D94" s="512" t="str">
        <f>CONCATENATE('Aircraft Calc'!A91," (",'Aircraft Calc'!C91,")")</f>
        <v>Cessna Citation* (JT15D-1A)</v>
      </c>
      <c r="G94" s="128"/>
      <c r="H94" s="512" t="str">
        <f>CONCATENATE('Aircraft Calc'!A131," (",'Aircraft Calc'!C131,")")</f>
        <v>Gulfstream IV* (Tay 611-8C)</v>
      </c>
      <c r="K94" s="128"/>
      <c r="L94" s="512" t="str">
        <f>('Aircraft Calc'!A176)</f>
        <v>Other 2 piston aircraft</v>
      </c>
    </row>
    <row r="95" spans="3:12" s="512" customFormat="1" x14ac:dyDescent="0.25">
      <c r="C95" s="128"/>
      <c r="D95" s="512" t="str">
        <f>CONCATENATE('Aircraft Calc'!A92," (",'Aircraft Calc'!C92,")")</f>
        <v>CH-47 (T55-714A)</v>
      </c>
      <c r="G95" s="128"/>
      <c r="H95" s="512" t="str">
        <f>CONCATENATE('Aircraft Calc'!A132," (",'Aircraft Calc'!C132,")")</f>
        <v>Gulfstream V* (BR700-710A1-10)</v>
      </c>
      <c r="K95" s="128"/>
      <c r="L95" s="512" t="str">
        <f>('Aircraft Calc'!A177)</f>
        <v>Other 2 turbo aircraft</v>
      </c>
    </row>
    <row r="96" spans="3:12" s="512" customFormat="1" x14ac:dyDescent="0.25">
      <c r="C96" s="128"/>
      <c r="D96" s="512" t="str">
        <f>CONCATENATE('Aircraft Calc'!A93," (",'Aircraft Calc'!C93,")")</f>
        <v>Cirrus SR22 (IO-550-N)</v>
      </c>
      <c r="G96" s="128"/>
      <c r="H96" s="512" t="str">
        <f>CONCATENATE('Aircraft Calc'!A133," (",'Aircraft Calc'!C133,")")</f>
        <v>Gulfstream VI* (BR-700-725A1-12)</v>
      </c>
      <c r="K96" s="128"/>
      <c r="L96" s="512" t="str">
        <f>('Aircraft Calc'!A178)</f>
        <v>Other 3 turbo aircraft</v>
      </c>
    </row>
    <row r="97" spans="2:13" s="512" customFormat="1" x14ac:dyDescent="0.25">
      <c r="C97" s="128"/>
      <c r="D97" s="512" t="str">
        <f>CONCATENATE('Aircraft Calc'!A94," (",'Aircraft Calc'!C94,")")</f>
        <v>CL300* (AS907)</v>
      </c>
      <c r="G97" s="128"/>
      <c r="H97" s="512" t="str">
        <f>CONCATENATE('Aircraft Calc'!A134," (",'Aircraft Calc'!C134,")")</f>
        <v>Gulfstream VII-500* (PW814GA)</v>
      </c>
      <c r="K97" s="128"/>
      <c r="L97" s="512" t="str">
        <f>('Aircraft Calc'!A179)</f>
        <v>Other 4 turbo aircraft</v>
      </c>
    </row>
    <row r="98" spans="2:13" s="512" customFormat="1" x14ac:dyDescent="0.25">
      <c r="C98" s="128"/>
      <c r="D98" s="512" t="str">
        <f>CONCATENATE('Aircraft Calc'!A95," (",'Aircraft Calc'!C95,")")</f>
        <v>CL415 (PW123-AF)</v>
      </c>
      <c r="G98" s="128"/>
      <c r="H98" s="512" t="str">
        <f>CONCATENATE('Aircraft Calc'!A135," (",'Aircraft Calc'!C135,")")</f>
        <v>Hawker 800* (TFE731-5BR)</v>
      </c>
    </row>
    <row r="99" spans="2:13" s="512" customFormat="1" x14ac:dyDescent="0.25">
      <c r="C99" s="128"/>
      <c r="D99" s="512" t="str">
        <f>CONCATENATE('Aircraft Calc'!A96," (",'Aircraft Calc'!C96,")")</f>
        <v>CL65* (CF34-3B1)</v>
      </c>
      <c r="G99" s="128"/>
      <c r="H99" s="512" t="str">
        <f>CONCATENATE('Aircraft Calc'!A136," (",'Aircraft Calc'!C136,")")</f>
        <v>Hawker Horizon* (PW308A)</v>
      </c>
      <c r="K99" s="509" t="s">
        <v>552</v>
      </c>
    </row>
    <row r="100" spans="2:13" s="512" customFormat="1" x14ac:dyDescent="0.25">
      <c r="C100" s="128"/>
      <c r="D100" s="512" t="str">
        <f>CONCATENATE('Aircraft Calc'!A97," (",'Aircraft Calc'!C97,")")</f>
        <v>CRJ200* (CF34-3B1)</v>
      </c>
      <c r="G100" s="128"/>
      <c r="H100" s="512" t="str">
        <f>CONCATENATE('Aircraft Calc'!A137," (",'Aircraft Calc'!C137,")")</f>
        <v>HS125-700* (TFE731-3)</v>
      </c>
      <c r="K100" s="514" t="s">
        <v>554</v>
      </c>
      <c r="M100" s="515" t="e">
        <f>'Aircraft Calc'!H182</f>
        <v>#DIV/0!</v>
      </c>
    </row>
    <row r="101" spans="2:13" s="512" customFormat="1" x14ac:dyDescent="0.25">
      <c r="C101" s="128"/>
      <c r="D101" s="512" t="str">
        <f>CONCATENATE('Aircraft Calc'!A98," (",'Aircraft Calc'!C98,")")</f>
        <v>CRJ700* (CF34-8C5B1)</v>
      </c>
      <c r="G101" s="128"/>
      <c r="H101" s="512" t="str">
        <f>CONCATENATE('Aircraft Calc'!A139," (",'Aircraft Calc'!C139,")")</f>
        <v>Learjet 45* (TFE331-20)</v>
      </c>
      <c r="K101" s="514" t="s">
        <v>553</v>
      </c>
      <c r="M101" s="515"/>
    </row>
    <row r="102" spans="2:13" s="512" customFormat="1" x14ac:dyDescent="0.25">
      <c r="C102" s="128"/>
      <c r="D102" s="512" t="str">
        <f>CONCATENATE('Aircraft Calc'!A99," (",'Aircraft Calc'!C99,")")</f>
        <v>CRJ900* (CF34-8C5)</v>
      </c>
      <c r="G102" s="128"/>
      <c r="H102" s="512" t="str">
        <f>CONCATENATE('Aircraft Calc'!A140," (",'Aircraft Calc'!C140,")")</f>
        <v>Learjet 60* (PW305A)</v>
      </c>
      <c r="K102" s="516" t="e">
        <f>IF(M100&lt;0.95,"You have specified &lt;95% so far."," ")</f>
        <v>#DIV/0!</v>
      </c>
    </row>
    <row r="103" spans="2:13" s="512" customFormat="1" x14ac:dyDescent="0.25">
      <c r="C103" s="517" t="s">
        <v>442</v>
      </c>
      <c r="K103" s="516"/>
    </row>
    <row r="105" spans="2:13" ht="15" customHeight="1" x14ac:dyDescent="0.25">
      <c r="B105" s="496" t="s">
        <v>2948</v>
      </c>
    </row>
    <row r="106" spans="2:13" ht="8.25" customHeight="1" x14ac:dyDescent="0.25"/>
    <row r="107" spans="2:13" x14ac:dyDescent="0.25">
      <c r="B107" s="493" t="s">
        <v>2949</v>
      </c>
      <c r="C107" s="179"/>
      <c r="D107" s="493" t="s">
        <v>2950</v>
      </c>
    </row>
    <row r="108" spans="2:13" ht="6" customHeight="1" x14ac:dyDescent="0.25"/>
    <row r="109" spans="2:13" x14ac:dyDescent="0.25">
      <c r="B109" s="493" t="s">
        <v>2952</v>
      </c>
      <c r="C109" s="178"/>
      <c r="D109" s="493" t="s">
        <v>2953</v>
      </c>
      <c r="F109" s="516" t="str">
        <f>IF(AND(C$107&gt;0,C109=0),"You have to enter a percentage (see instructions below)."," ")</f>
        <v xml:space="preserve"> </v>
      </c>
    </row>
    <row r="110" spans="2:13" x14ac:dyDescent="0.25">
      <c r="C110" s="178"/>
      <c r="D110" s="493" t="s">
        <v>2954</v>
      </c>
      <c r="F110" s="516" t="str">
        <f t="shared" ref="F110:F115" si="1">IF(AND(C$107&gt;0,C110=0),"You have to enter a percentage (see instructions below)."," ")</f>
        <v xml:space="preserve"> </v>
      </c>
    </row>
    <row r="111" spans="2:13" x14ac:dyDescent="0.25">
      <c r="C111" s="178"/>
      <c r="D111" s="493" t="s">
        <v>2955</v>
      </c>
      <c r="F111" s="516" t="str">
        <f t="shared" si="1"/>
        <v xml:space="preserve"> </v>
      </c>
    </row>
    <row r="112" spans="2:13" x14ac:dyDescent="0.25">
      <c r="C112" s="178"/>
      <c r="D112" s="493" t="s">
        <v>2956</v>
      </c>
      <c r="F112" s="516" t="str">
        <f t="shared" si="1"/>
        <v xml:space="preserve"> </v>
      </c>
    </row>
    <row r="113" spans="2:15" x14ac:dyDescent="0.25">
      <c r="C113" s="178"/>
      <c r="D113" s="493" t="s">
        <v>3333</v>
      </c>
      <c r="F113" s="516" t="str">
        <f t="shared" si="1"/>
        <v xml:space="preserve"> </v>
      </c>
    </row>
    <row r="114" spans="2:15" x14ac:dyDescent="0.25">
      <c r="C114" s="178"/>
      <c r="D114" s="493" t="s">
        <v>2957</v>
      </c>
      <c r="F114" s="516" t="str">
        <f t="shared" si="1"/>
        <v xml:space="preserve"> </v>
      </c>
    </row>
    <row r="115" spans="2:15" x14ac:dyDescent="0.25">
      <c r="C115" s="178"/>
      <c r="D115" s="493" t="s">
        <v>2958</v>
      </c>
      <c r="F115" s="516" t="str">
        <f t="shared" si="1"/>
        <v xml:space="preserve"> </v>
      </c>
    </row>
    <row r="117" spans="2:15" ht="15.6" customHeight="1" x14ac:dyDescent="0.25">
      <c r="B117" s="496" t="s">
        <v>182</v>
      </c>
      <c r="C117" s="518"/>
      <c r="D117" s="518"/>
      <c r="E117" s="518"/>
      <c r="F117" s="518"/>
      <c r="G117" s="518"/>
      <c r="H117" s="518"/>
      <c r="I117" s="518"/>
      <c r="J117" s="518"/>
      <c r="K117" s="518"/>
      <c r="L117" s="518"/>
      <c r="M117" s="518"/>
      <c r="N117" s="518"/>
      <c r="O117" s="498"/>
    </row>
    <row r="118" spans="2:15" ht="6.75" customHeight="1" x14ac:dyDescent="0.25">
      <c r="O118" s="498"/>
    </row>
    <row r="119" spans="2:15" ht="16.2" customHeight="1" x14ac:dyDescent="0.25">
      <c r="B119" s="496" t="s">
        <v>186</v>
      </c>
      <c r="O119" s="498"/>
    </row>
    <row r="120" spans="2:15" ht="9" customHeight="1" x14ac:dyDescent="0.25"/>
    <row r="121" spans="2:15" ht="16.2" customHeight="1" x14ac:dyDescent="0.25">
      <c r="B121" s="493" t="s">
        <v>3584</v>
      </c>
      <c r="D121" s="127" t="s">
        <v>3577</v>
      </c>
    </row>
    <row r="122" spans="2:15" s="519" customFormat="1" ht="60.75" customHeight="1" x14ac:dyDescent="0.25">
      <c r="D122" s="520" t="s">
        <v>183</v>
      </c>
      <c r="E122" s="520"/>
      <c r="F122" s="520" t="s">
        <v>3496</v>
      </c>
      <c r="H122" s="520" t="s">
        <v>3497</v>
      </c>
      <c r="J122" s="520" t="s">
        <v>184</v>
      </c>
      <c r="L122" s="520" t="s">
        <v>185</v>
      </c>
      <c r="O122" s="498"/>
    </row>
    <row r="123" spans="2:15" s="498" customFormat="1" ht="17.25" customHeight="1" x14ac:dyDescent="0.25">
      <c r="B123" s="498" t="s">
        <v>195</v>
      </c>
      <c r="C123" s="498" t="s">
        <v>194</v>
      </c>
      <c r="D123" s="61"/>
      <c r="E123" s="493"/>
      <c r="F123" s="61"/>
      <c r="G123" s="499"/>
      <c r="H123" s="61"/>
      <c r="I123" s="499"/>
      <c r="J123" s="61"/>
      <c r="K123" s="499"/>
      <c r="L123" s="61"/>
      <c r="O123" s="493"/>
    </row>
    <row r="124" spans="2:15" s="498" customFormat="1" ht="5.25" customHeight="1" x14ac:dyDescent="0.25">
      <c r="D124" s="499"/>
      <c r="E124" s="493"/>
      <c r="F124" s="499"/>
      <c r="G124" s="499"/>
      <c r="H124" s="499"/>
      <c r="I124" s="499"/>
      <c r="J124" s="499"/>
      <c r="K124" s="499"/>
      <c r="L124" s="499"/>
      <c r="O124" s="493"/>
    </row>
    <row r="125" spans="2:15" s="498" customFormat="1" ht="15.75" customHeight="1" x14ac:dyDescent="0.25">
      <c r="B125" s="498" t="s">
        <v>3372</v>
      </c>
      <c r="C125" s="498" t="s">
        <v>194</v>
      </c>
      <c r="D125" s="61"/>
      <c r="E125" s="493"/>
      <c r="F125" s="61"/>
      <c r="G125" s="499"/>
      <c r="H125" s="61"/>
      <c r="I125" s="499"/>
      <c r="J125" s="61"/>
      <c r="K125" s="499"/>
      <c r="L125" s="61"/>
      <c r="O125" s="493"/>
    </row>
    <row r="126" spans="2:15" s="498" customFormat="1" ht="11.4" customHeight="1" x14ac:dyDescent="0.25">
      <c r="D126" s="499"/>
      <c r="E126" s="493"/>
      <c r="F126" s="499"/>
      <c r="G126" s="499"/>
      <c r="H126" s="499"/>
      <c r="I126" s="499"/>
      <c r="J126" s="499"/>
      <c r="K126" s="499"/>
      <c r="L126" s="499"/>
      <c r="O126" s="493"/>
    </row>
    <row r="127" spans="2:15" s="498" customFormat="1" ht="15" customHeight="1" x14ac:dyDescent="0.25">
      <c r="B127" s="496" t="s">
        <v>187</v>
      </c>
      <c r="D127" s="499"/>
      <c r="E127" s="493"/>
      <c r="F127" s="499"/>
      <c r="G127" s="499"/>
      <c r="H127" s="499"/>
      <c r="I127" s="499"/>
      <c r="J127" s="499"/>
      <c r="K127" s="499"/>
      <c r="L127" s="499"/>
      <c r="O127" s="493"/>
    </row>
    <row r="128" spans="2:15" s="498" customFormat="1" ht="4.2" customHeight="1" x14ac:dyDescent="0.25">
      <c r="D128" s="499"/>
      <c r="E128" s="493"/>
      <c r="F128" s="499"/>
      <c r="G128" s="499"/>
      <c r="H128" s="499"/>
      <c r="I128" s="499"/>
      <c r="J128" s="499"/>
      <c r="K128" s="499"/>
      <c r="L128" s="499"/>
      <c r="O128" s="493"/>
    </row>
    <row r="129" spans="2:15" s="498" customFormat="1" ht="17.25" customHeight="1" x14ac:dyDescent="0.25">
      <c r="B129" s="498" t="s">
        <v>199</v>
      </c>
      <c r="C129" s="498" t="s">
        <v>196</v>
      </c>
      <c r="D129" s="268"/>
      <c r="E129" s="521"/>
      <c r="F129" s="268"/>
      <c r="G129" s="522"/>
      <c r="H129" s="268"/>
      <c r="I129" s="522"/>
      <c r="J129" s="268"/>
      <c r="K129" s="499"/>
      <c r="L129" s="499"/>
      <c r="O129" s="493"/>
    </row>
    <row r="130" spans="2:15" ht="7.5" customHeight="1" x14ac:dyDescent="0.25">
      <c r="L130" s="499"/>
    </row>
    <row r="131" spans="2:15" s="498" customFormat="1" ht="16.5" customHeight="1" x14ac:dyDescent="0.25">
      <c r="B131" s="498" t="s">
        <v>198</v>
      </c>
      <c r="C131" s="498" t="s">
        <v>194</v>
      </c>
      <c r="D131" s="83"/>
      <c r="E131" s="523"/>
      <c r="F131" s="83"/>
      <c r="G131" s="524"/>
      <c r="H131" s="83"/>
      <c r="I131" s="524"/>
      <c r="J131" s="83"/>
      <c r="K131" s="499"/>
      <c r="L131" s="499"/>
      <c r="O131" s="493"/>
    </row>
    <row r="132" spans="2:15" ht="6" customHeight="1" x14ac:dyDescent="0.25">
      <c r="D132" s="523"/>
      <c r="E132" s="523"/>
      <c r="F132" s="523"/>
      <c r="G132" s="523"/>
      <c r="H132" s="523"/>
      <c r="I132" s="523"/>
      <c r="J132" s="523"/>
      <c r="L132" s="499"/>
    </row>
    <row r="133" spans="2:15" s="498" customFormat="1" ht="16.5" customHeight="1" x14ac:dyDescent="0.25">
      <c r="B133" s="498" t="s">
        <v>197</v>
      </c>
      <c r="C133" s="498" t="s">
        <v>194</v>
      </c>
      <c r="D133" s="83"/>
      <c r="E133" s="523"/>
      <c r="F133" s="83"/>
      <c r="G133" s="524"/>
      <c r="H133" s="83"/>
      <c r="I133" s="524"/>
      <c r="J133" s="83"/>
      <c r="K133" s="499"/>
      <c r="L133" s="499"/>
      <c r="O133" s="493"/>
    </row>
    <row r="134" spans="2:15" ht="15" customHeight="1" x14ac:dyDescent="0.25">
      <c r="L134" s="499"/>
    </row>
    <row r="135" spans="2:15" ht="15.6" customHeight="1" x14ac:dyDescent="0.25">
      <c r="B135" s="525" t="s">
        <v>190</v>
      </c>
      <c r="F135" s="526"/>
      <c r="L135" s="499"/>
    </row>
    <row r="136" spans="2:15" ht="7.95" customHeight="1" x14ac:dyDescent="0.25">
      <c r="F136" s="526"/>
      <c r="L136" s="499"/>
    </row>
    <row r="137" spans="2:15" s="498" customFormat="1" ht="15.6" customHeight="1" x14ac:dyDescent="0.25">
      <c r="B137" s="498" t="s">
        <v>3426</v>
      </c>
      <c r="D137" s="118"/>
      <c r="E137" s="500" t="s">
        <v>429</v>
      </c>
      <c r="F137" s="118" t="s">
        <v>494</v>
      </c>
      <c r="L137" s="499"/>
    </row>
    <row r="138" spans="2:15" s="498" customFormat="1" ht="16.95" customHeight="1" x14ac:dyDescent="0.25">
      <c r="D138" s="506"/>
      <c r="E138" s="506"/>
      <c r="F138" s="527"/>
    </row>
    <row r="139" spans="2:15" s="498" customFormat="1" ht="15.6" customHeight="1" x14ac:dyDescent="0.25">
      <c r="B139" s="496" t="s">
        <v>382</v>
      </c>
      <c r="F139" s="527"/>
      <c r="L139" s="499"/>
    </row>
    <row r="140" spans="2:15" s="498" customFormat="1" ht="6" customHeight="1" x14ac:dyDescent="0.25">
      <c r="D140" s="506"/>
      <c r="E140" s="506"/>
      <c r="F140" s="527"/>
    </row>
    <row r="141" spans="2:15" s="498" customFormat="1" ht="13.2" customHeight="1" x14ac:dyDescent="0.25">
      <c r="D141" s="519" t="s">
        <v>499</v>
      </c>
      <c r="F141" s="118" t="s">
        <v>576</v>
      </c>
      <c r="H141" s="528" t="s">
        <v>3550</v>
      </c>
    </row>
    <row r="142" spans="2:15" s="498" customFormat="1" ht="15" customHeight="1" x14ac:dyDescent="0.25">
      <c r="B142" s="519" t="s">
        <v>425</v>
      </c>
      <c r="D142" s="506"/>
      <c r="E142" s="506"/>
      <c r="F142" s="527"/>
    </row>
    <row r="143" spans="2:15" s="498" customFormat="1" ht="15" customHeight="1" x14ac:dyDescent="0.25">
      <c r="B143" s="529" t="s">
        <v>380</v>
      </c>
      <c r="C143" s="498" t="s">
        <v>196</v>
      </c>
      <c r="D143" s="62">
        <v>0</v>
      </c>
      <c r="F143" s="527"/>
    </row>
    <row r="144" spans="2:15" s="498" customFormat="1" ht="3" customHeight="1" x14ac:dyDescent="0.25">
      <c r="D144" s="506"/>
      <c r="E144" s="506"/>
      <c r="F144" s="527"/>
    </row>
    <row r="145" spans="2:14" s="498" customFormat="1" ht="15" customHeight="1" x14ac:dyDescent="0.25">
      <c r="B145" s="529" t="s">
        <v>381</v>
      </c>
      <c r="C145" s="498" t="s">
        <v>196</v>
      </c>
      <c r="D145" s="556">
        <f>1-D143</f>
        <v>1</v>
      </c>
      <c r="E145" s="506"/>
      <c r="F145" s="527"/>
    </row>
    <row r="146" spans="2:14" s="498" customFormat="1" ht="6.75" customHeight="1" x14ac:dyDescent="0.25">
      <c r="D146" s="506"/>
      <c r="E146" s="506"/>
      <c r="F146" s="527"/>
    </row>
    <row r="147" spans="2:14" s="498" customFormat="1" ht="15.6" customHeight="1" x14ac:dyDescent="0.25">
      <c r="B147" s="519" t="s">
        <v>426</v>
      </c>
      <c r="D147" s="506"/>
      <c r="E147" s="506"/>
      <c r="F147" s="527"/>
    </row>
    <row r="148" spans="2:14" s="498" customFormat="1" ht="15" customHeight="1" x14ac:dyDescent="0.25">
      <c r="B148" s="498" t="s">
        <v>427</v>
      </c>
      <c r="D148" s="127"/>
      <c r="E148" s="500" t="s">
        <v>429</v>
      </c>
      <c r="F148" s="118" t="s">
        <v>494</v>
      </c>
    </row>
    <row r="149" spans="2:14" s="498" customFormat="1" ht="16.95" customHeight="1" x14ac:dyDescent="0.25">
      <c r="B149" s="498" t="s">
        <v>428</v>
      </c>
      <c r="D149" s="127"/>
      <c r="E149" s="500" t="s">
        <v>429</v>
      </c>
      <c r="F149" s="118" t="s">
        <v>494</v>
      </c>
    </row>
    <row r="150" spans="2:14" s="498" customFormat="1" ht="10.5" customHeight="1" x14ac:dyDescent="0.25">
      <c r="D150" s="506"/>
      <c r="E150" s="506"/>
      <c r="F150" s="527"/>
    </row>
    <row r="151" spans="2:14" s="498" customFormat="1" ht="16.95" customHeight="1" x14ac:dyDescent="0.25">
      <c r="B151" s="519" t="s">
        <v>575</v>
      </c>
      <c r="D151" s="506"/>
      <c r="E151" s="506"/>
      <c r="F151" s="527"/>
    </row>
    <row r="152" spans="2:14" s="498" customFormat="1" ht="16.95" customHeight="1" x14ac:dyDescent="0.25">
      <c r="D152" s="506"/>
      <c r="E152" s="506"/>
      <c r="F152" s="527"/>
    </row>
    <row r="153" spans="2:14" s="498" customFormat="1" ht="16.95" customHeight="1" x14ac:dyDescent="0.25">
      <c r="B153" s="496" t="s">
        <v>542</v>
      </c>
      <c r="D153" s="506"/>
      <c r="E153" s="506"/>
      <c r="F153" s="527"/>
    </row>
    <row r="154" spans="2:14" s="498" customFormat="1" ht="4.5" customHeight="1" x14ac:dyDescent="0.25">
      <c r="D154" s="506"/>
      <c r="E154" s="506"/>
      <c r="F154" s="527"/>
    </row>
    <row r="155" spans="2:14" s="498" customFormat="1" ht="16.95" customHeight="1" x14ac:dyDescent="0.25">
      <c r="B155" s="498" t="s">
        <v>3346</v>
      </c>
      <c r="D155" s="530">
        <f>SUM('Aircraft Calc'!H186:H191)/2/12</f>
        <v>0</v>
      </c>
      <c r="E155" s="531" t="s">
        <v>3343</v>
      </c>
      <c r="F155" s="527"/>
      <c r="H155" s="498" t="s">
        <v>3398</v>
      </c>
      <c r="K155" s="532">
        <f>SUM(D158:L158)*D155</f>
        <v>0</v>
      </c>
    </row>
    <row r="156" spans="2:14" s="498" customFormat="1" ht="6.75" customHeight="1" x14ac:dyDescent="0.25">
      <c r="D156" s="533"/>
      <c r="E156" s="506"/>
      <c r="F156" s="527"/>
    </row>
    <row r="157" spans="2:14" s="498" customFormat="1" ht="16.95" customHeight="1" x14ac:dyDescent="0.25">
      <c r="B157" s="498" t="s">
        <v>3345</v>
      </c>
      <c r="D157" s="499" t="s">
        <v>3342</v>
      </c>
      <c r="E157" s="534" t="s">
        <v>3334</v>
      </c>
      <c r="F157" s="534" t="s">
        <v>3335</v>
      </c>
      <c r="G157" s="534" t="s">
        <v>3336</v>
      </c>
      <c r="H157" s="534" t="s">
        <v>3337</v>
      </c>
      <c r="I157" s="534" t="s">
        <v>3338</v>
      </c>
      <c r="J157" s="534" t="s">
        <v>3339</v>
      </c>
      <c r="K157" s="534" t="s">
        <v>3340</v>
      </c>
      <c r="L157" s="534" t="s">
        <v>3341</v>
      </c>
      <c r="M157" s="527"/>
      <c r="N157" s="527"/>
    </row>
    <row r="158" spans="2:14" s="498" customFormat="1" ht="16.95" customHeight="1" x14ac:dyDescent="0.25">
      <c r="D158" s="268"/>
      <c r="E158" s="268"/>
      <c r="F158" s="268"/>
      <c r="G158" s="268"/>
      <c r="H158" s="268"/>
      <c r="I158" s="268"/>
      <c r="J158" s="268"/>
      <c r="K158" s="268"/>
      <c r="L158" s="268"/>
      <c r="M158" s="527"/>
      <c r="N158" s="527"/>
    </row>
    <row r="159" spans="2:14" s="498" customFormat="1" ht="7.5" customHeight="1" x14ac:dyDescent="0.25">
      <c r="M159" s="527"/>
      <c r="N159" s="527"/>
    </row>
    <row r="160" spans="2:14" s="513" customFormat="1" ht="36" customHeight="1" x14ac:dyDescent="0.25">
      <c r="D160" s="550" t="s">
        <v>183</v>
      </c>
      <c r="E160" s="550"/>
      <c r="F160" s="550" t="s">
        <v>3496</v>
      </c>
      <c r="H160" s="550" t="s">
        <v>3497</v>
      </c>
      <c r="J160" s="550" t="s">
        <v>184</v>
      </c>
      <c r="L160" s="550" t="s">
        <v>185</v>
      </c>
    </row>
    <row r="161" spans="2:15" s="498" customFormat="1" ht="15.75" customHeight="1" x14ac:dyDescent="0.25">
      <c r="B161" s="498" t="s">
        <v>3600</v>
      </c>
      <c r="D161" s="62"/>
      <c r="E161" s="493"/>
      <c r="F161" s="62"/>
      <c r="G161" s="499"/>
      <c r="H161" s="62"/>
      <c r="I161" s="499"/>
      <c r="J161" s="62"/>
      <c r="K161" s="499"/>
      <c r="L161" s="62"/>
      <c r="O161" s="493"/>
    </row>
    <row r="162" spans="2:15" s="498" customFormat="1" ht="5.25" customHeight="1" x14ac:dyDescent="0.25">
      <c r="D162" s="499"/>
      <c r="E162" s="493"/>
      <c r="F162" s="499"/>
      <c r="G162" s="499"/>
      <c r="H162" s="499"/>
      <c r="I162" s="499"/>
      <c r="J162" s="499"/>
      <c r="K162" s="499"/>
      <c r="L162" s="499"/>
      <c r="O162" s="493"/>
    </row>
    <row r="163" spans="2:15" s="498" customFormat="1" ht="16.95" customHeight="1" x14ac:dyDescent="0.25">
      <c r="B163" s="498" t="s">
        <v>3402</v>
      </c>
      <c r="F163" s="61" t="s">
        <v>3400</v>
      </c>
      <c r="M163" s="527"/>
      <c r="N163" s="527"/>
    </row>
    <row r="164" spans="2:15" s="498" customFormat="1" ht="16.95" customHeight="1" x14ac:dyDescent="0.25">
      <c r="D164" s="527"/>
      <c r="E164" s="527"/>
      <c r="F164" s="527"/>
      <c r="G164" s="527"/>
      <c r="H164" s="527"/>
      <c r="I164" s="527"/>
      <c r="J164" s="527"/>
      <c r="K164" s="527"/>
      <c r="L164" s="527"/>
      <c r="M164" s="527"/>
      <c r="N164" s="527"/>
    </row>
    <row r="165" spans="2:15" s="498" customFormat="1" ht="15.6" customHeight="1" x14ac:dyDescent="0.25">
      <c r="B165" s="496" t="s">
        <v>191</v>
      </c>
      <c r="F165" s="527"/>
      <c r="L165" s="499"/>
    </row>
    <row r="166" spans="2:15" s="498" customFormat="1" ht="7.2" customHeight="1" x14ac:dyDescent="0.25">
      <c r="D166" s="506"/>
      <c r="E166" s="506"/>
      <c r="F166" s="527"/>
    </row>
    <row r="167" spans="2:15" s="498" customFormat="1" ht="14.4" customHeight="1" x14ac:dyDescent="0.25">
      <c r="B167" s="498" t="s">
        <v>192</v>
      </c>
      <c r="D167" s="118"/>
      <c r="E167" s="500" t="s">
        <v>429</v>
      </c>
      <c r="F167" s="118" t="s">
        <v>3329</v>
      </c>
      <c r="H167" s="498" t="s">
        <v>3331</v>
      </c>
    </row>
    <row r="168" spans="2:15" ht="4.95" customHeight="1" x14ac:dyDescent="0.25">
      <c r="D168" s="526"/>
      <c r="F168" s="526"/>
      <c r="L168" s="499"/>
    </row>
    <row r="169" spans="2:15" s="498" customFormat="1" ht="15.75" customHeight="1" x14ac:dyDescent="0.25">
      <c r="B169" s="498" t="s">
        <v>193</v>
      </c>
      <c r="D169" s="118"/>
      <c r="E169" s="500" t="s">
        <v>429</v>
      </c>
      <c r="F169" s="118" t="s">
        <v>3329</v>
      </c>
    </row>
    <row r="170" spans="2:15" s="498" customFormat="1" ht="16.95" customHeight="1" x14ac:dyDescent="0.25">
      <c r="D170" s="531" t="s">
        <v>3563</v>
      </c>
      <c r="E170" s="506"/>
      <c r="F170" s="527"/>
    </row>
    <row r="171" spans="2:15" s="498" customFormat="1" ht="15.75" customHeight="1" x14ac:dyDescent="0.25"/>
    <row r="172" spans="2:15" s="498" customFormat="1" ht="15.6" customHeight="1" x14ac:dyDescent="0.25">
      <c r="B172" s="496" t="s">
        <v>188</v>
      </c>
      <c r="C172" s="497"/>
      <c r="D172" s="497"/>
      <c r="E172" s="497"/>
      <c r="F172" s="497"/>
      <c r="G172" s="497"/>
      <c r="H172" s="497"/>
      <c r="I172" s="497"/>
      <c r="J172" s="497"/>
      <c r="K172" s="497"/>
      <c r="L172" s="497"/>
      <c r="M172" s="497"/>
      <c r="N172" s="497"/>
    </row>
    <row r="173" spans="2:15" ht="13.5" customHeight="1" x14ac:dyDescent="0.25"/>
    <row r="174" spans="2:15" s="509" customFormat="1" ht="52.95" customHeight="1" x14ac:dyDescent="0.25">
      <c r="D174" s="535" t="s">
        <v>183</v>
      </c>
      <c r="E174" s="535"/>
      <c r="F174" s="535" t="s">
        <v>3496</v>
      </c>
      <c r="H174" s="535" t="s">
        <v>3497</v>
      </c>
      <c r="J174" s="535" t="s">
        <v>184</v>
      </c>
      <c r="K174" s="536"/>
      <c r="L174" s="535" t="s">
        <v>185</v>
      </c>
      <c r="O174" s="498"/>
    </row>
    <row r="175" spans="2:15" ht="6.75" customHeight="1" x14ac:dyDescent="0.25"/>
    <row r="176" spans="2:15" s="498" customFormat="1" ht="17.25" customHeight="1" x14ac:dyDescent="0.25">
      <c r="B176" s="498" t="s">
        <v>189</v>
      </c>
      <c r="C176" s="498" t="s">
        <v>202</v>
      </c>
      <c r="D176" s="61"/>
      <c r="E176" s="493"/>
      <c r="F176" s="61"/>
      <c r="G176" s="499"/>
      <c r="H176" s="61"/>
      <c r="I176" s="499"/>
      <c r="J176" s="61"/>
      <c r="K176" s="499"/>
      <c r="L176" s="61"/>
      <c r="M176" s="618" t="s">
        <v>3565</v>
      </c>
      <c r="N176" s="545"/>
      <c r="O176" s="493"/>
    </row>
    <row r="177" spans="2:15" s="498" customFormat="1" ht="5.25" customHeight="1" x14ac:dyDescent="0.25">
      <c r="D177" s="499"/>
      <c r="E177" s="493"/>
      <c r="F177" s="499"/>
      <c r="G177" s="499"/>
      <c r="H177" s="499"/>
      <c r="I177" s="499"/>
      <c r="J177" s="499"/>
      <c r="K177" s="499"/>
      <c r="L177" s="499"/>
      <c r="M177" s="618"/>
      <c r="O177" s="493"/>
    </row>
    <row r="178" spans="2:15" s="498" customFormat="1" ht="15.75" customHeight="1" x14ac:dyDescent="0.25">
      <c r="B178" s="498" t="s">
        <v>201</v>
      </c>
      <c r="C178" s="498" t="s">
        <v>194</v>
      </c>
      <c r="D178" s="61"/>
      <c r="E178" s="493"/>
      <c r="F178" s="61"/>
      <c r="G178" s="499"/>
      <c r="H178" s="61"/>
      <c r="I178" s="499"/>
      <c r="J178" s="61"/>
      <c r="K178" s="499"/>
      <c r="L178" s="61"/>
      <c r="M178" s="618"/>
      <c r="N178" s="537" t="s">
        <v>3564</v>
      </c>
      <c r="O178" s="493"/>
    </row>
    <row r="179" spans="2:15" ht="15" customHeight="1" x14ac:dyDescent="0.25">
      <c r="B179" s="538"/>
      <c r="C179" s="539"/>
      <c r="D179" s="539"/>
      <c r="E179" s="539"/>
      <c r="F179" s="539"/>
      <c r="G179" s="539"/>
      <c r="H179" s="539"/>
    </row>
    <row r="180" spans="2:15" ht="16.5" customHeight="1" x14ac:dyDescent="0.25"/>
    <row r="181" spans="2:15" s="498" customFormat="1" ht="15.6" customHeight="1" x14ac:dyDescent="0.25">
      <c r="B181" s="496" t="s">
        <v>401</v>
      </c>
      <c r="C181" s="497"/>
      <c r="D181" s="497"/>
      <c r="E181" s="497"/>
      <c r="F181" s="497"/>
      <c r="G181" s="497"/>
      <c r="H181" s="497"/>
      <c r="I181" s="497"/>
      <c r="J181" s="497"/>
      <c r="K181" s="497"/>
      <c r="L181" s="497"/>
      <c r="M181" s="497"/>
      <c r="N181" s="497"/>
    </row>
    <row r="182" spans="2:15" ht="20.25" customHeight="1" x14ac:dyDescent="0.25"/>
    <row r="183" spans="2:15" s="498" customFormat="1" ht="15.6" customHeight="1" x14ac:dyDescent="0.25">
      <c r="B183" s="496" t="s">
        <v>596</v>
      </c>
      <c r="C183" s="497"/>
      <c r="D183" s="497"/>
      <c r="E183" s="497"/>
      <c r="F183" s="497"/>
      <c r="G183" s="497"/>
      <c r="H183" s="497"/>
      <c r="I183" s="497"/>
      <c r="J183" s="497"/>
      <c r="K183" s="497"/>
      <c r="L183" s="497"/>
      <c r="M183" s="497"/>
      <c r="N183" s="497"/>
    </row>
    <row r="184" spans="2:15" ht="7.5" customHeight="1" x14ac:dyDescent="0.25"/>
    <row r="185" spans="2:15" s="540" customFormat="1" ht="27" customHeight="1" x14ac:dyDescent="0.25">
      <c r="B185" s="540" t="s">
        <v>3243</v>
      </c>
      <c r="C185" s="617" t="s">
        <v>3589</v>
      </c>
      <c r="D185" s="617"/>
      <c r="E185" s="617"/>
      <c r="F185" s="617"/>
      <c r="G185" s="617"/>
      <c r="H185" s="617"/>
      <c r="I185" s="617"/>
      <c r="J185" s="617"/>
      <c r="K185" s="617"/>
      <c r="L185" s="617"/>
      <c r="M185" s="617"/>
      <c r="N185" s="617"/>
    </row>
    <row r="186" spans="2:15" s="540" customFormat="1" ht="27" customHeight="1" x14ac:dyDescent="0.25">
      <c r="B186" s="540" t="s">
        <v>3441</v>
      </c>
      <c r="C186" s="617" t="s">
        <v>3692</v>
      </c>
      <c r="D186" s="617"/>
      <c r="E186" s="617"/>
      <c r="F186" s="617"/>
      <c r="G186" s="617"/>
      <c r="H186" s="617"/>
      <c r="I186" s="617"/>
      <c r="J186" s="617"/>
      <c r="K186" s="617"/>
      <c r="L186" s="617"/>
      <c r="M186" s="617"/>
      <c r="N186" s="617"/>
    </row>
    <row r="187" spans="2:15" x14ac:dyDescent="0.25">
      <c r="B187" s="493" t="s">
        <v>606</v>
      </c>
      <c r="C187" s="493" t="s">
        <v>3297</v>
      </c>
    </row>
    <row r="188" spans="2:15" x14ac:dyDescent="0.25">
      <c r="C188" s="493" t="s">
        <v>3503</v>
      </c>
    </row>
    <row r="189" spans="2:15" x14ac:dyDescent="0.25">
      <c r="C189" s="493" t="s">
        <v>3502</v>
      </c>
    </row>
    <row r="190" spans="2:15" x14ac:dyDescent="0.25">
      <c r="C190" s="493" t="s">
        <v>631</v>
      </c>
    </row>
    <row r="191" spans="2:15" s="541" customFormat="1" ht="25.5" customHeight="1" x14ac:dyDescent="0.25">
      <c r="B191" s="541" t="s">
        <v>2951</v>
      </c>
      <c r="C191" s="617" t="s">
        <v>3298</v>
      </c>
      <c r="D191" s="617"/>
      <c r="E191" s="617"/>
      <c r="F191" s="617"/>
      <c r="G191" s="617"/>
      <c r="H191" s="617"/>
      <c r="I191" s="617"/>
      <c r="J191" s="617"/>
      <c r="K191" s="617"/>
      <c r="L191" s="617"/>
      <c r="M191" s="617"/>
      <c r="N191" s="617"/>
    </row>
    <row r="192" spans="2:15" s="541" customFormat="1" ht="13.5" customHeight="1" x14ac:dyDescent="0.25">
      <c r="B192" s="493" t="s">
        <v>607</v>
      </c>
      <c r="C192" s="617" t="s">
        <v>3590</v>
      </c>
      <c r="D192" s="617"/>
      <c r="E192" s="617"/>
      <c r="F192" s="617"/>
      <c r="G192" s="617"/>
      <c r="H192" s="617"/>
      <c r="I192" s="617"/>
      <c r="J192" s="617"/>
      <c r="K192" s="617"/>
      <c r="L192" s="617"/>
      <c r="M192" s="617"/>
      <c r="N192" s="617"/>
    </row>
    <row r="193" spans="2:14" x14ac:dyDescent="0.25">
      <c r="C193" s="493" t="s">
        <v>3585</v>
      </c>
    </row>
    <row r="194" spans="2:14" x14ac:dyDescent="0.25">
      <c r="B194" s="493" t="s">
        <v>608</v>
      </c>
      <c r="C194" s="493" t="s">
        <v>617</v>
      </c>
    </row>
    <row r="195" spans="2:14" x14ac:dyDescent="0.25">
      <c r="C195" s="493" t="s">
        <v>600</v>
      </c>
    </row>
    <row r="196" spans="2:14" x14ac:dyDescent="0.25">
      <c r="C196" s="493" t="s">
        <v>3591</v>
      </c>
    </row>
    <row r="197" spans="2:14" x14ac:dyDescent="0.25">
      <c r="B197" s="493" t="s">
        <v>609</v>
      </c>
      <c r="C197" s="493" t="s">
        <v>601</v>
      </c>
    </row>
    <row r="198" spans="2:14" x14ac:dyDescent="0.25">
      <c r="B198" s="493" t="s">
        <v>610</v>
      </c>
      <c r="C198" s="493" t="s">
        <v>615</v>
      </c>
    </row>
    <row r="199" spans="2:14" x14ac:dyDescent="0.25">
      <c r="C199" s="493" t="s">
        <v>602</v>
      </c>
    </row>
    <row r="200" spans="2:14" x14ac:dyDescent="0.25">
      <c r="C200" s="493" t="s">
        <v>616</v>
      </c>
    </row>
    <row r="201" spans="2:14" x14ac:dyDescent="0.25">
      <c r="C201" s="493" t="s">
        <v>3592</v>
      </c>
    </row>
    <row r="202" spans="2:14" x14ac:dyDescent="0.25">
      <c r="B202" s="493" t="s">
        <v>603</v>
      </c>
      <c r="C202" s="493" t="s">
        <v>3362</v>
      </c>
    </row>
    <row r="203" spans="2:14" x14ac:dyDescent="0.25">
      <c r="C203" s="493" t="s">
        <v>3603</v>
      </c>
    </row>
    <row r="204" spans="2:14" x14ac:dyDescent="0.25">
      <c r="B204" s="493" t="s">
        <v>604</v>
      </c>
      <c r="C204" s="493" t="s">
        <v>3560</v>
      </c>
    </row>
    <row r="205" spans="2:14" ht="25.5" customHeight="1" x14ac:dyDescent="0.25">
      <c r="B205" s="540" t="s">
        <v>605</v>
      </c>
      <c r="C205" s="617" t="s">
        <v>3299</v>
      </c>
      <c r="D205" s="617"/>
      <c r="E205" s="617"/>
      <c r="F205" s="617"/>
      <c r="G205" s="617"/>
      <c r="H205" s="617"/>
      <c r="I205" s="617"/>
      <c r="J205" s="617"/>
      <c r="K205" s="617"/>
      <c r="L205" s="617"/>
      <c r="M205" s="617"/>
      <c r="N205" s="617"/>
    </row>
    <row r="206" spans="2:14" ht="6" customHeight="1" x14ac:dyDescent="0.25"/>
    <row r="207" spans="2:14" x14ac:dyDescent="0.25">
      <c r="B207" s="493" t="s">
        <v>611</v>
      </c>
      <c r="C207" s="493" t="s">
        <v>612</v>
      </c>
    </row>
  </sheetData>
  <sheetProtection algorithmName="SHA-512" hashValue="sdtPamJ35Lc8q0b2p8+L1auGnNxhSl6o9wA7d4aAIVPLA/Ccj8xYyT1kXpP0iPHdN+IpdTiQKpHyjwd0/u3ZUw==" saltValue="iCvVHkdWg+bgnlIJbtjwQg==" spinCount="100000" sheet="1" selectLockedCells="1"/>
  <mergeCells count="12">
    <mergeCell ref="C205:N205"/>
    <mergeCell ref="M176:M178"/>
    <mergeCell ref="C191:N191"/>
    <mergeCell ref="C1:K1"/>
    <mergeCell ref="J5:K5"/>
    <mergeCell ref="C5:D5"/>
    <mergeCell ref="C7:D7"/>
    <mergeCell ref="C185:N185"/>
    <mergeCell ref="J13:K13"/>
    <mergeCell ref="C186:N186"/>
    <mergeCell ref="J7:K7"/>
    <mergeCell ref="C192:N192"/>
  </mergeCells>
  <dataValidations count="9">
    <dataValidation type="list" allowBlank="1" showInputMessage="1" showErrorMessage="1" sqref="J5" xr:uid="{00000000-0002-0000-0100-000000000000}">
      <formula1>CountryList</formula1>
    </dataValidation>
    <dataValidation type="list" allowBlank="1" showInputMessage="1" showErrorMessage="1" sqref="F137" xr:uid="{00000000-0002-0000-0100-000001000000}">
      <formula1>GPU</formula1>
    </dataValidation>
    <dataValidation type="list" allowBlank="1" showInputMessage="1" showErrorMessage="1" sqref="F148:F149" xr:uid="{00000000-0002-0000-0100-000002000000}">
      <formula1>GSEFuel</formula1>
    </dataValidation>
    <dataValidation type="list" allowBlank="1" showInputMessage="1" showErrorMessage="1" sqref="F141" xr:uid="{00000000-0002-0000-0100-000003000000}">
      <formula1>GSE</formula1>
    </dataValidation>
    <dataValidation type="list" allowBlank="1" showInputMessage="1" showErrorMessage="1" sqref="F13" xr:uid="{00000000-0002-0000-0100-000004000000}">
      <formula1>LTO</formula1>
    </dataValidation>
    <dataValidation type="list" allowBlank="1" showInputMessage="1" showErrorMessage="1" sqref="F167 F169" xr:uid="{00000000-0002-0000-0100-000005000000}">
      <formula1>Fuel</formula1>
    </dataValidation>
    <dataValidation type="list" allowBlank="1" showInputMessage="1" showErrorMessage="1" sqref="F163" xr:uid="{00000000-0002-0000-0100-000006000000}">
      <formula1>YESNO</formula1>
    </dataValidation>
    <dataValidation type="list" allowBlank="1" showInputMessage="1" showErrorMessage="1" sqref="J13" xr:uid="{00000000-0002-0000-0100-000007000000}">
      <formula1>Calculation</formula1>
    </dataValidation>
    <dataValidation type="list" allowBlank="1" showInputMessage="1" showErrorMessage="1" sqref="D121" xr:uid="{00000000-0002-0000-0100-000008000000}">
      <formula1>Taxi</formula1>
    </dataValidation>
  </dataValidations>
  <pageMargins left="0.70866141732283472" right="0.31496062992125984" top="0.55118110236220474" bottom="0.55118110236220474" header="0.31496062992125984" footer="0.31496062992125984"/>
  <pageSetup paperSize="9" scale="47" fitToHeight="2" orientation="portrait" r:id="rId1"/>
  <rowBreaks count="1" manualBreakCount="1">
    <brk id="170" max="1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38"/>
  <sheetViews>
    <sheetView zoomScaleNormal="100" workbookViewId="0">
      <pane xSplit="2" ySplit="4" topLeftCell="L178" activePane="bottomRight" state="frozen"/>
      <selection pane="topRight" activeCell="C1" sqref="C1"/>
      <selection pane="bottomLeft" activeCell="A4" sqref="A4"/>
      <selection pane="bottomRight" sqref="A1:XFD1048576"/>
    </sheetView>
  </sheetViews>
  <sheetFormatPr baseColWidth="10" defaultColWidth="11.5546875" defaultRowHeight="13.2" x14ac:dyDescent="0.25"/>
  <cols>
    <col min="1" max="1" width="34.109375" style="74" customWidth="1"/>
    <col min="2" max="2" width="16" style="74" customWidth="1"/>
    <col min="3" max="3" width="18.33203125" style="86" customWidth="1"/>
    <col min="4" max="4" width="14.6640625" style="86" customWidth="1"/>
    <col min="5" max="6" width="11.88671875" style="86" customWidth="1"/>
    <col min="7" max="7" width="13.109375" style="163" customWidth="1"/>
    <col min="8" max="8" width="14.6640625" style="86" customWidth="1"/>
    <col min="9" max="12" width="16" style="74" customWidth="1"/>
    <col min="13" max="13" width="13.88671875" style="74" customWidth="1"/>
    <col min="14" max="14" width="16" style="74" customWidth="1"/>
    <col min="15" max="15" width="17.109375" style="74" customWidth="1"/>
    <col min="16" max="16" width="13.88671875" style="74" customWidth="1"/>
    <col min="17" max="17" width="11.44140625" style="136" customWidth="1"/>
    <col min="18" max="18" width="14.109375" style="74" customWidth="1"/>
    <col min="19" max="21" width="11.5546875" style="74"/>
    <col min="22" max="22" width="13.44140625" style="74" customWidth="1"/>
    <col min="23" max="23" width="11.5546875" style="74"/>
    <col min="24" max="24" width="12.33203125" style="74" bestFit="1" customWidth="1"/>
    <col min="25" max="28" width="11.5546875" style="74"/>
    <col min="29" max="29" width="11.33203125" style="169" customWidth="1"/>
    <col min="30" max="33" width="11.5546875" style="74"/>
    <col min="34" max="34" width="12.88671875" style="86" customWidth="1"/>
    <col min="35" max="35" width="11.5546875" style="75"/>
    <col min="36" max="37" width="11.5546875" style="86"/>
    <col min="38" max="38" width="12.6640625" style="163" customWidth="1"/>
    <col min="39" max="16384" width="11.5546875" style="74"/>
  </cols>
  <sheetData>
    <row r="1" spans="1:38" ht="22.5" customHeight="1" x14ac:dyDescent="0.25">
      <c r="A1" s="333" t="s">
        <v>3386</v>
      </c>
      <c r="D1" s="492" t="s">
        <v>3566</v>
      </c>
      <c r="E1" s="349" t="s">
        <v>413</v>
      </c>
    </row>
    <row r="2" spans="1:38" ht="19.95" customHeight="1" x14ac:dyDescent="0.25">
      <c r="A2" s="85"/>
    </row>
    <row r="3" spans="1:38" s="90" customFormat="1" ht="15.6" x14ac:dyDescent="0.3">
      <c r="A3" s="73" t="s">
        <v>3387</v>
      </c>
      <c r="B3" s="73"/>
      <c r="C3" s="87"/>
      <c r="D3" s="389"/>
      <c r="E3" s="87"/>
      <c r="F3" s="87"/>
      <c r="G3" s="241"/>
      <c r="H3" s="159" t="s">
        <v>560</v>
      </c>
      <c r="I3" s="73" t="s">
        <v>3447</v>
      </c>
      <c r="J3" s="73"/>
      <c r="K3" s="381" t="str">
        <f>ALECA_Input!F13</f>
        <v>ICAO (3000ft)</v>
      </c>
      <c r="L3" s="381"/>
      <c r="M3" s="88"/>
      <c r="N3" s="88"/>
      <c r="O3" s="88"/>
      <c r="P3" s="418" t="s">
        <v>3414</v>
      </c>
      <c r="Q3" s="158" t="s">
        <v>642</v>
      </c>
      <c r="R3" s="160"/>
      <c r="S3" s="80"/>
      <c r="T3" s="80"/>
      <c r="U3" s="80"/>
      <c r="V3" s="220"/>
      <c r="W3" s="80"/>
      <c r="X3" s="80"/>
      <c r="Y3" s="158" t="s">
        <v>643</v>
      </c>
      <c r="Z3" s="160"/>
      <c r="AA3" s="80"/>
      <c r="AB3" s="80"/>
      <c r="AC3" s="80"/>
      <c r="AD3" s="220"/>
      <c r="AE3" s="80"/>
      <c r="AF3" s="80"/>
      <c r="AG3" s="89"/>
      <c r="AH3" s="325" t="s">
        <v>2946</v>
      </c>
      <c r="AI3" s="391"/>
    </row>
    <row r="4" spans="1:38" s="96" customFormat="1" ht="29.25" customHeight="1" x14ac:dyDescent="0.25">
      <c r="A4" s="155" t="s">
        <v>3551</v>
      </c>
      <c r="B4" s="156" t="s">
        <v>378</v>
      </c>
      <c r="C4" s="387" t="s">
        <v>203</v>
      </c>
      <c r="D4" s="390" t="s">
        <v>3283</v>
      </c>
      <c r="E4" s="388" t="s">
        <v>414</v>
      </c>
      <c r="F4" s="157" t="s">
        <v>2935</v>
      </c>
      <c r="G4" s="242" t="s">
        <v>3416</v>
      </c>
      <c r="H4" s="91" t="s">
        <v>379</v>
      </c>
      <c r="I4" s="170" t="s">
        <v>648</v>
      </c>
      <c r="J4" s="170" t="s">
        <v>397</v>
      </c>
      <c r="K4" s="380" t="s">
        <v>398</v>
      </c>
      <c r="L4" s="170" t="s">
        <v>399</v>
      </c>
      <c r="M4" s="170" t="s">
        <v>641</v>
      </c>
      <c r="N4" s="170" t="s">
        <v>649</v>
      </c>
      <c r="O4" s="170" t="s">
        <v>400</v>
      </c>
      <c r="P4" s="419" t="s">
        <v>3406</v>
      </c>
      <c r="Q4" s="92" t="s">
        <v>3255</v>
      </c>
      <c r="R4" s="93" t="s">
        <v>3256</v>
      </c>
      <c r="S4" s="93" t="s">
        <v>3257</v>
      </c>
      <c r="T4" s="93" t="s">
        <v>3258</v>
      </c>
      <c r="U4" s="93" t="s">
        <v>3259</v>
      </c>
      <c r="V4" s="221" t="s">
        <v>3260</v>
      </c>
      <c r="W4" s="93" t="s">
        <v>3261</v>
      </c>
      <c r="X4" s="92" t="s">
        <v>3262</v>
      </c>
      <c r="Y4" s="94" t="s">
        <v>3263</v>
      </c>
      <c r="Z4" s="95" t="s">
        <v>3264</v>
      </c>
      <c r="AA4" s="95" t="s">
        <v>3265</v>
      </c>
      <c r="AB4" s="94" t="s">
        <v>3266</v>
      </c>
      <c r="AC4" s="95" t="s">
        <v>3267</v>
      </c>
      <c r="AD4" s="226" t="s">
        <v>3268</v>
      </c>
      <c r="AE4" s="95" t="s">
        <v>3269</v>
      </c>
      <c r="AF4" s="94" t="s">
        <v>3270</v>
      </c>
      <c r="AG4" s="200" t="s">
        <v>3580</v>
      </c>
      <c r="AH4" s="164" t="s">
        <v>3415</v>
      </c>
      <c r="AI4" s="392" t="s">
        <v>3457</v>
      </c>
    </row>
    <row r="5" spans="1:38" x14ac:dyDescent="0.25">
      <c r="A5" s="397" t="s">
        <v>3464</v>
      </c>
      <c r="B5" s="75" t="s">
        <v>384</v>
      </c>
      <c r="C5" s="81" t="s">
        <v>858</v>
      </c>
      <c r="D5" s="74" t="s">
        <v>855</v>
      </c>
      <c r="E5" s="75" t="s">
        <v>2936</v>
      </c>
      <c r="F5" s="136">
        <v>2</v>
      </c>
      <c r="G5" s="243">
        <f>VLOOKUP(D5,Engines_all!$A$3:$AZ$843,52,FALSE)</f>
        <v>0</v>
      </c>
      <c r="H5" s="74">
        <f>ALECA_Input!C63</f>
        <v>0</v>
      </c>
      <c r="I5" s="82">
        <f t="shared" ref="I5:I51" si="0">$H5/2*$F5*(R5+(Z5*$AG5/1000))</f>
        <v>0</v>
      </c>
      <c r="J5" s="82">
        <f t="shared" ref="J5:J51" si="1">$H5/2*$F5*(S5+(AA5*$AG5/1000))</f>
        <v>0</v>
      </c>
      <c r="K5" s="82">
        <f t="shared" ref="K5:K51" si="2">$H5/2*$F5*(T5+(AB5*$AG5/1000))</f>
        <v>0</v>
      </c>
      <c r="L5" s="82">
        <f t="shared" ref="L5:L51" si="3">$H5/2*$F5*(U5+(AC5*$AG5/1000))</f>
        <v>0</v>
      </c>
      <c r="M5" s="161">
        <f t="shared" ref="M5:M51" si="4">H5/2*$F5*(V5+AD5*AG5)</f>
        <v>0</v>
      </c>
      <c r="N5" s="82">
        <f t="shared" ref="N5:N51" si="5">$H5/2*$F5*(W5+(AE5*$AG5/1000))</f>
        <v>0</v>
      </c>
      <c r="O5" s="82">
        <f t="shared" ref="O5:O51" si="6">$H5/2*$F5*(X5+(AF5*$AG5/1000))</f>
        <v>0</v>
      </c>
      <c r="P5" s="262">
        <f t="shared" ref="P5:P51" si="7">F5*H5/2*AH5/1000</f>
        <v>0</v>
      </c>
      <c r="Q5" s="76">
        <f>VLOOKUP($D5,Engines_all!$A$3:'Engines_all'!$V$843,11,FALSE)</f>
        <v>16.884</v>
      </c>
      <c r="R5" s="78">
        <f>VLOOKUP($D5,Engines_all!$A$3:'Engines_all'!$V$843,12,FALSE)</f>
        <v>9.9493200000000004E-2</v>
      </c>
      <c r="S5" s="78">
        <f>VLOOKUP($D5,Engines_all!$A$3:'Engines_all'!$V$843,13,FALSE)</f>
        <v>0.12819636000000001</v>
      </c>
      <c r="T5" s="78">
        <f>VLOOKUP($D5,Engines_all!$A$3:'Engines_all'!$V$843,14,FALSE)</f>
        <v>0.16012799999999999</v>
      </c>
      <c r="U5" s="78">
        <f>VLOOKUP($D5,Engines_all!$A$3:'Engines_all'!$V$843,15,FALSE)</f>
        <v>1.2732315839999999E-2</v>
      </c>
      <c r="V5" s="222">
        <f>VLOOKUP($D5,Engines_all!$A$3:'Engines_all'!$V$843,16,FALSE)</f>
        <v>8.783694E+17</v>
      </c>
      <c r="W5" s="77">
        <f t="shared" ref="W5:W51" si="8">Q5*0.0005</f>
        <v>8.4419999999999999E-3</v>
      </c>
      <c r="X5" s="78">
        <f>IF(E5="K",Q5*'Rest Calc'!B$16,Q5*'Rest Calc'!B$17)</f>
        <v>53.353440000000006</v>
      </c>
      <c r="Y5" s="76">
        <f>VLOOKUP($D5,Engines_all!$A$3:'Engines_all'!$V$843,17,FALSE)</f>
        <v>804</v>
      </c>
      <c r="Z5" s="76">
        <f>VLOOKUP($D5,Engines_all!$A$3:'Engines_all'!$V$843,18,FALSE)</f>
        <v>1.4472</v>
      </c>
      <c r="AA5" s="76">
        <f>VLOOKUP($D5,Engines_all!$A$3:'Engines_all'!$V$843,19,FALSE)</f>
        <v>49.703280000000007</v>
      </c>
      <c r="AB5" s="76">
        <f>VLOOKUP($D5,Engines_all!$A$3:'Engines_all'!$V$843,20,FALSE)</f>
        <v>65.686800000000005</v>
      </c>
      <c r="AC5" s="76">
        <f>VLOOKUP($D5,Engines_all!$A$3:'Engines_all'!$V$843,21,FALSE)</f>
        <v>0.48592907759999998</v>
      </c>
      <c r="AD5" s="222">
        <f>VLOOKUP($D5,Engines_all!$A$3:'Engines_all'!$V$843,22,FALSE)</f>
        <v>7.26012E+16</v>
      </c>
      <c r="AE5" s="80">
        <f t="shared" ref="AE5:AE51" si="9">Y5*0.0005</f>
        <v>0.40200000000000002</v>
      </c>
      <c r="AF5" s="79">
        <f>IF(E5="K",Y5*'Rest Calc'!B$16,Y5*'Rest Calc'!B$17)</f>
        <v>2540.6400000000003</v>
      </c>
      <c r="AG5" s="79">
        <f>IF(ALECA_Input!D$121="Standard",VLOOKUP($B5,$A$211:$J$218,6,FALSE),VLOOKUP($B5,$A$211:$J$218,10,FALSE))</f>
        <v>5</v>
      </c>
      <c r="AH5" s="163">
        <v>90</v>
      </c>
      <c r="AI5" s="75">
        <v>8</v>
      </c>
      <c r="AJ5" s="74"/>
      <c r="AK5" s="74"/>
      <c r="AL5" s="74"/>
    </row>
    <row r="6" spans="1:38" x14ac:dyDescent="0.25">
      <c r="A6" s="74" t="s">
        <v>3486</v>
      </c>
      <c r="B6" s="75" t="s">
        <v>384</v>
      </c>
      <c r="C6" s="74" t="s">
        <v>830</v>
      </c>
      <c r="D6" s="74" t="s">
        <v>829</v>
      </c>
      <c r="E6" s="75" t="s">
        <v>2936</v>
      </c>
      <c r="F6" s="136">
        <v>1</v>
      </c>
      <c r="G6" s="243">
        <f>VLOOKUP(D6,Engines_all!$A$3:$AZ$843,52,FALSE)</f>
        <v>0</v>
      </c>
      <c r="H6" s="74">
        <f>ALECA_Input!C64</f>
        <v>0</v>
      </c>
      <c r="I6" s="82">
        <f>$H6/2*$F6*(R6+(Z6*$AG6/1000))</f>
        <v>0</v>
      </c>
      <c r="J6" s="82">
        <f>$H6/2*$F6*(S6+(AA6*$AG6/1000))</f>
        <v>0</v>
      </c>
      <c r="K6" s="82">
        <f>$H6/2*$F6*(T6+(AB6*$AG6/1000))</f>
        <v>0</v>
      </c>
      <c r="L6" s="82">
        <f>$H6/2*$F6*(U6+(AC6*$AG6/1000))</f>
        <v>0</v>
      </c>
      <c r="M6" s="161">
        <f>H6/2*$F6*(V6+AD6*AG6)</f>
        <v>0</v>
      </c>
      <c r="N6" s="82">
        <f>$H6/2*$F6*(W6+(AE6*$AG6/1000))</f>
        <v>0</v>
      </c>
      <c r="O6" s="82">
        <f>$H6/2*$F6*(X6+(AF6*$AG6/1000))</f>
        <v>0</v>
      </c>
      <c r="P6" s="262">
        <f>F6*H6/2*AH6/1000</f>
        <v>0</v>
      </c>
      <c r="Q6" s="76">
        <f>VLOOKUP($D6,Engines_all!$A$3:'Engines_all'!$V$843,11,FALSE)</f>
        <v>21.503999999999998</v>
      </c>
      <c r="R6" s="78">
        <f>VLOOKUP($D6,Engines_all!$A$3:'Engines_all'!$V$843,12,FALSE)</f>
        <v>0.15146280000000001</v>
      </c>
      <c r="S6" s="78">
        <f>VLOOKUP($D6,Engines_all!$A$3:'Engines_all'!$V$843,13,FALSE)</f>
        <v>3.3073199999999997E-2</v>
      </c>
      <c r="T6" s="78">
        <f>VLOOKUP($D6,Engines_all!$A$3:'Engines_all'!$V$843,14,FALSE)</f>
        <v>0.1541544</v>
      </c>
      <c r="U6" s="78">
        <f>VLOOKUP($D6,Engines_all!$A$3:'Engines_all'!$V$843,15,FALSE)</f>
        <v>9.2723270400000002E-3</v>
      </c>
      <c r="V6" s="222">
        <f>VLOOKUP($D6,Engines_all!$A$3:'Engines_all'!$V$843,16,FALSE)</f>
        <v>9.7907436E+17</v>
      </c>
      <c r="W6" s="77">
        <f t="shared" ref="W6:W10" si="10">Q6*0.0005</f>
        <v>1.0751999999999999E-2</v>
      </c>
      <c r="X6" s="78">
        <f>IF(E6="K",Q6*'Rest Calc'!B$16,Q6*'Rest Calc'!B$17)</f>
        <v>67.952640000000002</v>
      </c>
      <c r="Y6" s="76">
        <f>VLOOKUP($D6,Engines_all!$A$3:'Engines_all'!$V$843,17,FALSE)</f>
        <v>1566</v>
      </c>
      <c r="Z6" s="76">
        <f>VLOOKUP($D6,Engines_all!$A$3:'Engines_all'!$V$843,18,FALSE)</f>
        <v>7.0470000000000006</v>
      </c>
      <c r="AA6" s="76">
        <f>VLOOKUP($D6,Engines_all!$A$3:'Engines_all'!$V$843,19,FALSE)</f>
        <v>9.2394000000000016</v>
      </c>
      <c r="AB6" s="76">
        <f>VLOOKUP($D6,Engines_all!$A$3:'Engines_all'!$V$843,20,FALSE)</f>
        <v>26.935199999999998</v>
      </c>
      <c r="AC6" s="76">
        <f>VLOOKUP($D6,Engines_all!$A$3:'Engines_all'!$V$843,21,FALSE)</f>
        <v>0.446095458</v>
      </c>
      <c r="AD6" s="222">
        <f>VLOOKUP($D6,Engines_all!$A$3:'Engines_all'!$V$843,22,FALSE)</f>
        <v>1.86354E+17</v>
      </c>
      <c r="AE6" s="80">
        <f t="shared" ref="AE6:AE10" si="11">Y6*0.0005</f>
        <v>0.78300000000000003</v>
      </c>
      <c r="AF6" s="79">
        <f>IF(E6="K",Y6*'Rest Calc'!B$16,Y6*'Rest Calc'!B$17)</f>
        <v>4948.5600000000004</v>
      </c>
      <c r="AG6" s="79">
        <f>IF(ALECA_Input!D$121="Standard",VLOOKUP($B6,$A$211:$J$218,6,FALSE),VLOOKUP($B6,$A$211:$J$218,10,FALSE))</f>
        <v>5</v>
      </c>
      <c r="AH6" s="163">
        <v>90</v>
      </c>
      <c r="AI6" s="75">
        <v>8</v>
      </c>
      <c r="AJ6" s="74"/>
      <c r="AK6" s="74"/>
      <c r="AL6" s="74"/>
    </row>
    <row r="7" spans="1:38" x14ac:dyDescent="0.25">
      <c r="A7" s="397" t="s">
        <v>3288</v>
      </c>
      <c r="B7" s="75" t="s">
        <v>394</v>
      </c>
      <c r="C7" s="74" t="s">
        <v>405</v>
      </c>
      <c r="D7" s="74" t="s">
        <v>3649</v>
      </c>
      <c r="E7" s="75" t="s">
        <v>2936</v>
      </c>
      <c r="F7" s="136">
        <v>2</v>
      </c>
      <c r="G7" s="243">
        <f>VLOOKUP(D7,Engines_all!$A$3:$AZ$843,52,FALSE)</f>
        <v>108.53</v>
      </c>
      <c r="H7" s="74">
        <f>ALECA_Input!C42</f>
        <v>0</v>
      </c>
      <c r="I7" s="82">
        <f t="shared" si="0"/>
        <v>0</v>
      </c>
      <c r="J7" s="82">
        <f t="shared" si="1"/>
        <v>0</v>
      </c>
      <c r="K7" s="82">
        <f t="shared" si="2"/>
        <v>0</v>
      </c>
      <c r="L7" s="82">
        <f t="shared" si="3"/>
        <v>0</v>
      </c>
      <c r="M7" s="161">
        <f t="shared" si="4"/>
        <v>0</v>
      </c>
      <c r="N7" s="82">
        <f t="shared" si="5"/>
        <v>0</v>
      </c>
      <c r="O7" s="82">
        <f t="shared" si="6"/>
        <v>0</v>
      </c>
      <c r="P7" s="262">
        <f t="shared" si="7"/>
        <v>0</v>
      </c>
      <c r="Q7" s="76">
        <f>VLOOKUP($D7,Engines_all!$A$3:'Engines_all'!$V$843,11,FALSE)</f>
        <v>174.18</v>
      </c>
      <c r="R7" s="78">
        <f>VLOOKUP($D7,Engines_all!$A$3:'Engines_all'!$V$843,12,FALSE)</f>
        <v>3.1956599999999997</v>
      </c>
      <c r="S7" s="78">
        <f>VLOOKUP($D7,Engines_all!$A$3:'Engines_all'!$V$843,13,FALSE)</f>
        <v>5.5200000000000006E-3</v>
      </c>
      <c r="T7" s="78">
        <f>VLOOKUP($D7,Engines_all!$A$3:'Engines_all'!$V$843,14,FALSE)</f>
        <v>0.10794000000000001</v>
      </c>
      <c r="U7" s="78">
        <f>VLOOKUP($D7,Engines_all!$A$3:'Engines_all'!$V$843,15,FALSE)</f>
        <v>1.0268021063410538E-2</v>
      </c>
      <c r="V7" s="222">
        <f>VLOOKUP($D7,Engines_all!$A$3:'Engines_all'!$V$843,16,FALSE)</f>
        <v>2.8302460766663544E+16</v>
      </c>
      <c r="W7" s="77">
        <f t="shared" si="10"/>
        <v>8.7090000000000001E-2</v>
      </c>
      <c r="X7" s="78">
        <f>IF(E7="K",Q7*'Rest Calc'!B$16,Q7*'Rest Calc'!B$17)</f>
        <v>550.40880000000004</v>
      </c>
      <c r="Y7" s="76">
        <f>VLOOKUP($D7,Engines_all!$A$3:'Engines_all'!$V$843,17,FALSE)</f>
        <v>4800</v>
      </c>
      <c r="Z7" s="76">
        <f>VLOOKUP($D7,Engines_all!$A$3:'Engines_all'!$V$843,18,FALSE)</f>
        <v>28.799999999999997</v>
      </c>
      <c r="AA7" s="76">
        <f>VLOOKUP($D7,Engines_all!$A$3:'Engines_all'!$V$843,19,FALSE)</f>
        <v>0.48</v>
      </c>
      <c r="AB7" s="76">
        <f>VLOOKUP($D7,Engines_all!$A$3:'Engines_all'!$V$843,20,FALSE)</f>
        <v>80.16</v>
      </c>
      <c r="AC7" s="76">
        <f>VLOOKUP($D7,Engines_all!$A$3:'Engines_all'!$V$843,21,FALSE)</f>
        <v>0.27314231957321528</v>
      </c>
      <c r="AD7" s="222">
        <f>VLOOKUP($D7,Engines_all!$A$3:'Engines_all'!$V$843,22,FALSE)</f>
        <v>1993217464722018.8</v>
      </c>
      <c r="AE7" s="80">
        <f t="shared" si="11"/>
        <v>2.4</v>
      </c>
      <c r="AF7" s="79">
        <f>IF(E7="K",Y7*'Rest Calc'!B$16,Y7*'Rest Calc'!B$17)</f>
        <v>15168</v>
      </c>
      <c r="AG7" s="79">
        <f>IF(ALECA_Input!D$121="Standard",VLOOKUP($B7,$A$211:$J$218,6,FALSE),VLOOKUP($B7,$A$211:$J$218,10,FALSE))</f>
        <v>0</v>
      </c>
      <c r="AH7" s="163">
        <f t="shared" ref="AH7:AH21" si="12">G7/2+80</f>
        <v>134.26499999999999</v>
      </c>
      <c r="AI7" s="75">
        <v>3</v>
      </c>
      <c r="AJ7" s="74"/>
      <c r="AK7" s="74"/>
      <c r="AL7" s="74"/>
    </row>
    <row r="8" spans="1:38" x14ac:dyDescent="0.25">
      <c r="A8" s="74" t="s">
        <v>3289</v>
      </c>
      <c r="B8" s="75" t="s">
        <v>394</v>
      </c>
      <c r="C8" s="74" t="s">
        <v>406</v>
      </c>
      <c r="D8" s="74" t="s">
        <v>3648</v>
      </c>
      <c r="E8" s="75" t="s">
        <v>2936</v>
      </c>
      <c r="F8" s="136">
        <v>2</v>
      </c>
      <c r="G8" s="243">
        <f>VLOOKUP(D8,Engines_all!$A$3:$AZ$843,52,FALSE)</f>
        <v>108.53</v>
      </c>
      <c r="H8" s="74">
        <f>ALECA_Input!C43</f>
        <v>0</v>
      </c>
      <c r="I8" s="82">
        <f t="shared" si="0"/>
        <v>0</v>
      </c>
      <c r="J8" s="82">
        <f t="shared" si="1"/>
        <v>0</v>
      </c>
      <c r="K8" s="82">
        <f t="shared" si="2"/>
        <v>0</v>
      </c>
      <c r="L8" s="82">
        <f t="shared" si="3"/>
        <v>0</v>
      </c>
      <c r="M8" s="161">
        <f t="shared" si="4"/>
        <v>0</v>
      </c>
      <c r="N8" s="82">
        <f t="shared" si="5"/>
        <v>0</v>
      </c>
      <c r="O8" s="82">
        <f t="shared" si="6"/>
        <v>0</v>
      </c>
      <c r="P8" s="262">
        <f t="shared" si="7"/>
        <v>0</v>
      </c>
      <c r="Q8" s="76">
        <f>VLOOKUP($D8,Engines_all!$A$3:'Engines_all'!$V$843,11,FALSE)</f>
        <v>174.18</v>
      </c>
      <c r="R8" s="78">
        <f>VLOOKUP($D8,Engines_all!$A$3:'Engines_all'!$V$843,12,FALSE)</f>
        <v>3.1956599999999997</v>
      </c>
      <c r="S8" s="78">
        <f>VLOOKUP($D8,Engines_all!$A$3:'Engines_all'!$V$843,13,FALSE)</f>
        <v>5.5200000000000006E-3</v>
      </c>
      <c r="T8" s="78">
        <f>VLOOKUP($D8,Engines_all!$A$3:'Engines_all'!$V$843,14,FALSE)</f>
        <v>0.10794000000000001</v>
      </c>
      <c r="U8" s="78">
        <f>VLOOKUP($D8,Engines_all!$A$3:'Engines_all'!$V$843,15,FALSE)</f>
        <v>1.0268021063410538E-2</v>
      </c>
      <c r="V8" s="222">
        <f>VLOOKUP($D8,Engines_all!$A$3:'Engines_all'!$V$843,16,FALSE)</f>
        <v>2.8302460766663544E+16</v>
      </c>
      <c r="W8" s="77">
        <f t="shared" si="10"/>
        <v>8.7090000000000001E-2</v>
      </c>
      <c r="X8" s="78">
        <f>IF(E8="K",Q8*'Rest Calc'!B$16,Q8*'Rest Calc'!B$17)</f>
        <v>550.40880000000004</v>
      </c>
      <c r="Y8" s="76">
        <f>VLOOKUP($D8,Engines_all!$A$3:'Engines_all'!$V$843,17,FALSE)</f>
        <v>4800</v>
      </c>
      <c r="Z8" s="76">
        <f>VLOOKUP($D8,Engines_all!$A$3:'Engines_all'!$V$843,18,FALSE)</f>
        <v>28.799999999999997</v>
      </c>
      <c r="AA8" s="76">
        <f>VLOOKUP($D8,Engines_all!$A$3:'Engines_all'!$V$843,19,FALSE)</f>
        <v>0.48</v>
      </c>
      <c r="AB8" s="76">
        <f>VLOOKUP($D8,Engines_all!$A$3:'Engines_all'!$V$843,20,FALSE)</f>
        <v>80.16</v>
      </c>
      <c r="AC8" s="76">
        <f>VLOOKUP($D8,Engines_all!$A$3:'Engines_all'!$V$843,21,FALSE)</f>
        <v>0.27314231957321528</v>
      </c>
      <c r="AD8" s="222">
        <f>VLOOKUP($D8,Engines_all!$A$3:'Engines_all'!$V$843,22,FALSE)</f>
        <v>1993217464722018.8</v>
      </c>
      <c r="AE8" s="80">
        <f t="shared" si="11"/>
        <v>2.4</v>
      </c>
      <c r="AF8" s="79">
        <f>IF(E8="K",Y8*'Rest Calc'!B$16,Y8*'Rest Calc'!B$17)</f>
        <v>15168</v>
      </c>
      <c r="AG8" s="79">
        <f>IF(ALECA_Input!D$121="Standard",VLOOKUP($B8,$A$211:$J$218,6,FALSE),VLOOKUP($B8,$A$211:$J$218,10,FALSE))</f>
        <v>0</v>
      </c>
      <c r="AH8" s="163">
        <f t="shared" si="12"/>
        <v>134.26499999999999</v>
      </c>
      <c r="AI8" s="75">
        <v>3</v>
      </c>
      <c r="AJ8" s="74"/>
      <c r="AK8" s="74"/>
      <c r="AL8" s="74"/>
    </row>
    <row r="9" spans="1:38" x14ac:dyDescent="0.25">
      <c r="A9" s="74" t="s">
        <v>3487</v>
      </c>
      <c r="B9" s="75" t="s">
        <v>393</v>
      </c>
      <c r="C9" s="74" t="s">
        <v>209</v>
      </c>
      <c r="D9" s="74" t="s">
        <v>650</v>
      </c>
      <c r="E9" s="75" t="s">
        <v>2936</v>
      </c>
      <c r="F9" s="136">
        <v>2</v>
      </c>
      <c r="G9" s="243">
        <f>VLOOKUP(D9,Engines_all!$A$3:$AZ$843,52,FALSE)</f>
        <v>215.3</v>
      </c>
      <c r="H9" s="74">
        <f>ALECA_Input!C31</f>
        <v>0</v>
      </c>
      <c r="I9" s="82">
        <f t="shared" si="0"/>
        <v>0</v>
      </c>
      <c r="J9" s="82">
        <f t="shared" si="1"/>
        <v>0</v>
      </c>
      <c r="K9" s="82">
        <f t="shared" si="2"/>
        <v>0</v>
      </c>
      <c r="L9" s="82">
        <f t="shared" si="3"/>
        <v>0</v>
      </c>
      <c r="M9" s="161">
        <f t="shared" si="4"/>
        <v>0</v>
      </c>
      <c r="N9" s="82">
        <f t="shared" si="5"/>
        <v>0</v>
      </c>
      <c r="O9" s="82">
        <f t="shared" si="6"/>
        <v>0</v>
      </c>
      <c r="P9" s="262">
        <f t="shared" si="7"/>
        <v>0</v>
      </c>
      <c r="Q9" s="76">
        <f>VLOOKUP($D9,Engines_all!$A$3:'Engines_all'!$V$843,11,FALSE)</f>
        <v>476.94</v>
      </c>
      <c r="R9" s="78">
        <f>VLOOKUP($D9,Engines_all!$A$3:'Engines_all'!$V$843,12,FALSE)</f>
        <v>9.4210122000000016</v>
      </c>
      <c r="S9" s="78">
        <f>VLOOKUP($D9,Engines_all!$A$3:'Engines_all'!$V$843,13,FALSE)</f>
        <v>9.3182160000000014E-2</v>
      </c>
      <c r="T9" s="78">
        <f>VLOOKUP($D9,Engines_all!$A$3:'Engines_all'!$V$843,14,FALSE)</f>
        <v>0.80723724000000008</v>
      </c>
      <c r="U9" s="78">
        <f>VLOOKUP($D9,Engines_all!$A$3:'Engines_all'!$V$843,15,FALSE)</f>
        <v>5.6378560283101863E-2</v>
      </c>
      <c r="V9" s="222">
        <f>VLOOKUP($D9,Engines_all!$A$3:'Engines_all'!$V$843,16,FALSE)</f>
        <v>2.3586059832594611E+17</v>
      </c>
      <c r="W9" s="77">
        <f t="shared" si="10"/>
        <v>0.23847000000000002</v>
      </c>
      <c r="X9" s="78">
        <f>IF(E9="K",Q9*'Rest Calc'!B$16,Q9*'Rest Calc'!B$17)</f>
        <v>1507.1304</v>
      </c>
      <c r="Y9" s="76">
        <f>VLOOKUP($D9,Engines_all!$A$3:'Engines_all'!$V$843,17,FALSE)</f>
        <v>9780.0000000000018</v>
      </c>
      <c r="Z9" s="76">
        <f>VLOOKUP($D9,Engines_all!$A$3:'Engines_all'!$V$843,18,FALSE)</f>
        <v>33.252000000000002</v>
      </c>
      <c r="AA9" s="76">
        <f>VLOOKUP($D9,Engines_all!$A$3:'Engines_all'!$V$843,19,FALSE)</f>
        <v>26.601600000000005</v>
      </c>
      <c r="AB9" s="76">
        <f>VLOOKUP($D9,Engines_all!$A$3:'Engines_all'!$V$843,20,FALSE)</f>
        <v>235.11120000000003</v>
      </c>
      <c r="AC9" s="76">
        <f>VLOOKUP($D9,Engines_all!$A$3:'Engines_all'!$V$843,21,FALSE)</f>
        <v>0.76419165384445176</v>
      </c>
      <c r="AD9" s="222">
        <f>VLOOKUP($D9,Engines_all!$A$3:'Engines_all'!$V$843,22,FALSE)</f>
        <v>6117010880011981</v>
      </c>
      <c r="AE9" s="80">
        <f t="shared" si="11"/>
        <v>4.8900000000000006</v>
      </c>
      <c r="AF9" s="79">
        <f>IF(E9="K",Y9*'Rest Calc'!B$16,Y9*'Rest Calc'!B$17)</f>
        <v>30904.800000000007</v>
      </c>
      <c r="AG9" s="79">
        <f>IF(ALECA_Input!D$121="Standard",VLOOKUP($B9,$A$211:$J$218,6,FALSE),VLOOKUP($B9,$A$211:$J$218,10,FALSE))</f>
        <v>0</v>
      </c>
      <c r="AH9" s="163">
        <f t="shared" ref="AH9:AH10" si="13">G9/2+80</f>
        <v>187.65</v>
      </c>
      <c r="AI9" s="75">
        <v>2</v>
      </c>
      <c r="AJ9" s="74"/>
      <c r="AK9" s="74"/>
      <c r="AL9" s="74"/>
    </row>
    <row r="10" spans="1:38" x14ac:dyDescent="0.25">
      <c r="A10" s="74" t="s">
        <v>3488</v>
      </c>
      <c r="B10" s="75" t="s">
        <v>393</v>
      </c>
      <c r="C10" s="74" t="s">
        <v>1489</v>
      </c>
      <c r="D10" s="74" t="s">
        <v>1517</v>
      </c>
      <c r="E10" s="75" t="s">
        <v>2936</v>
      </c>
      <c r="F10" s="136">
        <v>2</v>
      </c>
      <c r="G10" s="243">
        <f>VLOOKUP(D10,Engines_all!$A$3:$AZ$843,52,FALSE)</f>
        <v>257.37</v>
      </c>
      <c r="H10" s="74">
        <f>ALECA_Input!C32</f>
        <v>0</v>
      </c>
      <c r="I10" s="82">
        <f t="shared" si="0"/>
        <v>0</v>
      </c>
      <c r="J10" s="82">
        <f t="shared" si="1"/>
        <v>0</v>
      </c>
      <c r="K10" s="82">
        <f t="shared" si="2"/>
        <v>0</v>
      </c>
      <c r="L10" s="82">
        <f t="shared" si="3"/>
        <v>0</v>
      </c>
      <c r="M10" s="161">
        <f t="shared" si="4"/>
        <v>0</v>
      </c>
      <c r="N10" s="82">
        <f t="shared" si="5"/>
        <v>0</v>
      </c>
      <c r="O10" s="82">
        <f t="shared" si="6"/>
        <v>0</v>
      </c>
      <c r="P10" s="262">
        <f t="shared" si="7"/>
        <v>0</v>
      </c>
      <c r="Q10" s="76">
        <f>VLOOKUP($D10,Engines_all!$A$3:'Engines_all'!$V$843,11,FALSE)</f>
        <v>521.43600000000004</v>
      </c>
      <c r="R10" s="78">
        <f>VLOOKUP($D10,Engines_all!$A$3:'Engines_all'!$V$843,12,FALSE)</f>
        <v>10.023129960000002</v>
      </c>
      <c r="S10" s="78">
        <f>VLOOKUP($D10,Engines_all!$A$3:'Engines_all'!$V$843,13,FALSE)</f>
        <v>3.7008600000000003E-2</v>
      </c>
      <c r="T10" s="78">
        <f>VLOOKUP($D10,Engines_all!$A$3:'Engines_all'!$V$843,14,FALSE)</f>
        <v>0.33592632</v>
      </c>
      <c r="U10" s="78">
        <f>VLOOKUP($D10,Engines_all!$A$3:'Engines_all'!$V$843,15,FALSE)</f>
        <v>4.3847572755625716E-2</v>
      </c>
      <c r="V10" s="222">
        <f>VLOOKUP($D10,Engines_all!$A$3:'Engines_all'!$V$843,16,FALSE)</f>
        <v>1.1716840497005024E+17</v>
      </c>
      <c r="W10" s="77">
        <f t="shared" si="10"/>
        <v>0.26071800000000001</v>
      </c>
      <c r="X10" s="78">
        <f>IF(E10="K",Q10*'Rest Calc'!B$16,Q10*'Rest Calc'!B$17)</f>
        <v>1647.7377600000002</v>
      </c>
      <c r="Y10" s="76">
        <f>VLOOKUP($D10,Engines_all!$A$3:'Engines_all'!$V$843,17,FALSE)</f>
        <v>12060</v>
      </c>
      <c r="Z10" s="76">
        <f>VLOOKUP($D10,Engines_all!$A$3:'Engines_all'!$V$843,18,FALSE)</f>
        <v>56.440799999999996</v>
      </c>
      <c r="AA10" s="76">
        <f>VLOOKUP($D10,Engines_all!$A$3:'Engines_all'!$V$843,19,FALSE)</f>
        <v>19.175400000000003</v>
      </c>
      <c r="AB10" s="76">
        <f>VLOOKUP($D10,Engines_all!$A$3:'Engines_all'!$V$843,20,FALSE)</f>
        <v>238.30560000000003</v>
      </c>
      <c r="AC10" s="76">
        <f>VLOOKUP($D10,Engines_all!$A$3:'Engines_all'!$V$843,21,FALSE)</f>
        <v>0.74952537311872691</v>
      </c>
      <c r="AD10" s="222">
        <f>VLOOKUP($D10,Engines_all!$A$3:'Engines_all'!$V$843,22,FALSE)</f>
        <v>2056422956320298.8</v>
      </c>
      <c r="AE10" s="80">
        <f t="shared" si="11"/>
        <v>6.03</v>
      </c>
      <c r="AF10" s="79">
        <f>IF(E10="K",Y10*'Rest Calc'!B$16,Y10*'Rest Calc'!B$17)</f>
        <v>38109.599999999999</v>
      </c>
      <c r="AG10" s="79">
        <f>IF(ALECA_Input!D$121="Standard",VLOOKUP($B10,$A$211:$J$218,6,FALSE),VLOOKUP($B10,$A$211:$J$218,10,FALSE))</f>
        <v>0</v>
      </c>
      <c r="AH10" s="163">
        <f t="shared" si="13"/>
        <v>208.685</v>
      </c>
      <c r="AI10" s="75">
        <v>2</v>
      </c>
      <c r="AJ10" s="74"/>
      <c r="AK10" s="74"/>
      <c r="AL10" s="74"/>
    </row>
    <row r="11" spans="1:38" x14ac:dyDescent="0.25">
      <c r="A11" s="417" t="s">
        <v>3287</v>
      </c>
      <c r="B11" s="75" t="s">
        <v>394</v>
      </c>
      <c r="C11" s="74" t="s">
        <v>1273</v>
      </c>
      <c r="D11" s="74" t="s">
        <v>1272</v>
      </c>
      <c r="E11" s="75" t="s">
        <v>2936</v>
      </c>
      <c r="F11" s="136">
        <v>2</v>
      </c>
      <c r="G11" s="243">
        <f>VLOOKUP(D11,Engines_all!$A$3:$AZ$843,52,FALSE)</f>
        <v>94.7</v>
      </c>
      <c r="H11" s="74">
        <f>ALECA_Input!C44*ALECA_Input!F44</f>
        <v>0</v>
      </c>
      <c r="I11" s="82">
        <f t="shared" si="0"/>
        <v>0</v>
      </c>
      <c r="J11" s="82">
        <f t="shared" si="1"/>
        <v>0</v>
      </c>
      <c r="K11" s="82">
        <f t="shared" si="2"/>
        <v>0</v>
      </c>
      <c r="L11" s="82">
        <f t="shared" si="3"/>
        <v>0</v>
      </c>
      <c r="M11" s="161">
        <f t="shared" si="4"/>
        <v>0</v>
      </c>
      <c r="N11" s="82">
        <f t="shared" si="5"/>
        <v>0</v>
      </c>
      <c r="O11" s="82">
        <f t="shared" si="6"/>
        <v>0</v>
      </c>
      <c r="P11" s="262">
        <f t="shared" si="7"/>
        <v>0</v>
      </c>
      <c r="Q11" s="76">
        <f>VLOOKUP($D11,Engines_all!$A$3:'Engines_all'!$V$843,11,FALSE)</f>
        <v>195.858</v>
      </c>
      <c r="R11" s="78">
        <f>VLOOKUP($D11,Engines_all!$A$3:'Engines_all'!$V$843,12,FALSE)</f>
        <v>2.8591745999999998</v>
      </c>
      <c r="S11" s="78">
        <f>VLOOKUP($D11,Engines_all!$A$3:'Engines_all'!$V$843,13,FALSE)</f>
        <v>6.9889800000000002E-2</v>
      </c>
      <c r="T11" s="78">
        <f>VLOOKUP($D11,Engines_all!$A$3:'Engines_all'!$V$843,14,FALSE)</f>
        <v>0.35161439999999999</v>
      </c>
      <c r="U11" s="78">
        <f>VLOOKUP($D11,Engines_all!$A$3:'Engines_all'!$V$843,15,FALSE)</f>
        <v>2.007437418336688E-2</v>
      </c>
      <c r="V11" s="222">
        <f>VLOOKUP($D11,Engines_all!$A$3:'Engines_all'!$V$843,16,FALSE)</f>
        <v>7.1537631875149624E+16</v>
      </c>
      <c r="W11" s="77">
        <f t="shared" si="8"/>
        <v>9.7929000000000002E-2</v>
      </c>
      <c r="X11" s="78">
        <f>IF(E11="K",Q11*'Rest Calc'!B$16,Q11*'Rest Calc'!B$17)</f>
        <v>618.91128000000003</v>
      </c>
      <c r="Y11" s="76">
        <f>VLOOKUP($D11,Engines_all!$A$3:'Engines_all'!$V$843,17,FALSE)</f>
        <v>5640</v>
      </c>
      <c r="Z11" s="76">
        <f>VLOOKUP($D11,Engines_all!$A$3:'Engines_all'!$V$843,18,FALSE)</f>
        <v>19.175999999999998</v>
      </c>
      <c r="AA11" s="76">
        <f>VLOOKUP($D11,Engines_all!$A$3:'Engines_all'!$V$843,19,FALSE)</f>
        <v>36.659999999999997</v>
      </c>
      <c r="AB11" s="76">
        <f>VLOOKUP($D11,Engines_all!$A$3:'Engines_all'!$V$843,20,FALSE)</f>
        <v>185.55599999999998</v>
      </c>
      <c r="AC11" s="76">
        <f>VLOOKUP($D11,Engines_all!$A$3:'Engines_all'!$V$843,21,FALSE)</f>
        <v>0.58711095903091381</v>
      </c>
      <c r="AD11" s="222">
        <f>VLOOKUP($D11,Engines_all!$A$3:'Engines_all'!$V$843,22,FALSE)</f>
        <v>4278005826203561</v>
      </c>
      <c r="AE11" s="80">
        <f t="shared" si="9"/>
        <v>2.82</v>
      </c>
      <c r="AF11" s="79">
        <f>IF(E11="K",Y11*'Rest Calc'!B$16,Y11*'Rest Calc'!B$17)</f>
        <v>17822.400000000001</v>
      </c>
      <c r="AG11" s="79">
        <f>IF(ALECA_Input!D$121="Standard",VLOOKUP($B11,$A$211:$J$218,6,FALSE),VLOOKUP($B11,$A$211:$J$218,10,FALSE))</f>
        <v>0</v>
      </c>
      <c r="AH11" s="163">
        <f t="shared" si="12"/>
        <v>127.35</v>
      </c>
      <c r="AI11" s="75">
        <v>2</v>
      </c>
      <c r="AJ11" s="74"/>
      <c r="AK11" s="74"/>
      <c r="AL11" s="74"/>
    </row>
    <row r="12" spans="1:38" x14ac:dyDescent="0.25">
      <c r="A12" s="417" t="s">
        <v>3287</v>
      </c>
      <c r="B12" s="75" t="s">
        <v>394</v>
      </c>
      <c r="C12" s="74" t="s">
        <v>1104</v>
      </c>
      <c r="D12" s="74" t="s">
        <v>1103</v>
      </c>
      <c r="E12" s="75" t="s">
        <v>2936</v>
      </c>
      <c r="F12" s="136">
        <v>2</v>
      </c>
      <c r="G12" s="243">
        <f>VLOOKUP(D12,Engines_all!$A$3:$AZ$843,52,FALSE)</f>
        <v>103.6</v>
      </c>
      <c r="H12" s="74">
        <f>ALECA_Input!C44*ALECA_Input!I44</f>
        <v>0</v>
      </c>
      <c r="I12" s="82">
        <f t="shared" ref="I12" si="14">$H12/2*$F12*(R12+(Z12*$AG12/1000))</f>
        <v>0</v>
      </c>
      <c r="J12" s="82">
        <f t="shared" ref="J12" si="15">$H12/2*$F12*(S12+(AA12*$AG12/1000))</f>
        <v>0</v>
      </c>
      <c r="K12" s="82">
        <f t="shared" ref="K12" si="16">$H12/2*$F12*(T12+(AB12*$AG12/1000))</f>
        <v>0</v>
      </c>
      <c r="L12" s="82">
        <f t="shared" ref="L12" si="17">$H12/2*$F12*(U12+(AC12*$AG12/1000))</f>
        <v>0</v>
      </c>
      <c r="M12" s="161">
        <f t="shared" ref="M12" si="18">H12/2*$F12*(V12+AD12*AG12)</f>
        <v>0</v>
      </c>
      <c r="N12" s="82">
        <f t="shared" ref="N12" si="19">$H12/2*$F12*(W12+(AE12*$AG12/1000))</f>
        <v>0</v>
      </c>
      <c r="O12" s="82">
        <f t="shared" ref="O12" si="20">$H12/2*$F12*(X12+(AF12*$AG12/1000))</f>
        <v>0</v>
      </c>
      <c r="P12" s="262">
        <f t="shared" ref="P12" si="21">F12*H12/2*AH12/1000</f>
        <v>0</v>
      </c>
      <c r="Q12" s="76">
        <f>VLOOKUP($D12,Engines_all!$A$3:'Engines_all'!$V$843,11,FALSE)</f>
        <v>211.548</v>
      </c>
      <c r="R12" s="78">
        <f>VLOOKUP($D12,Engines_all!$A$3:'Engines_all'!$V$843,12,FALSE)</f>
        <v>2.8003910400000001</v>
      </c>
      <c r="S12" s="78">
        <f>VLOOKUP($D12,Engines_all!$A$3:'Engines_all'!$V$843,13,FALSE)</f>
        <v>8.6137200000000001E-3</v>
      </c>
      <c r="T12" s="78">
        <f>VLOOKUP($D12,Engines_all!$A$3:'Engines_all'!$V$843,14,FALSE)</f>
        <v>0.31912164000000004</v>
      </c>
      <c r="U12" s="78">
        <f>VLOOKUP($D12,Engines_all!$A$3:'Engines_all'!$V$843,15,FALSE)</f>
        <v>2.1016512746380726E-2</v>
      </c>
      <c r="V12" s="222">
        <f>VLOOKUP($D12,Engines_all!$A$3:'Engines_all'!$V$843,16,FALSE)</f>
        <v>1.1323393597663779E+17</v>
      </c>
      <c r="W12" s="77">
        <f t="shared" ref="W12" si="22">Q12*0.0005</f>
        <v>0.10577400000000001</v>
      </c>
      <c r="X12" s="78">
        <f>IF(E12="K",Q12*'Rest Calc'!B$16,Q12*'Rest Calc'!B$17)</f>
        <v>668.49168000000009</v>
      </c>
      <c r="Y12" s="76">
        <f>VLOOKUP($D12,Engines_all!$A$3:'Engines_all'!$V$843,17,FALSE)</f>
        <v>5700</v>
      </c>
      <c r="Z12" s="76">
        <f>VLOOKUP($D12,Engines_all!$A$3:'Engines_all'!$V$843,18,FALSE)</f>
        <v>22.344000000000001</v>
      </c>
      <c r="AA12" s="76">
        <f>VLOOKUP($D12,Engines_all!$A$3:'Engines_all'!$V$843,19,FALSE)</f>
        <v>17.157</v>
      </c>
      <c r="AB12" s="76">
        <f>VLOOKUP($D12,Engines_all!$A$3:'Engines_all'!$V$843,20,FALSE)</f>
        <v>221.16</v>
      </c>
      <c r="AC12" s="76">
        <f>VLOOKUP($D12,Engines_all!$A$3:'Engines_all'!$V$843,21,FALSE)</f>
        <v>0.50755932206654486</v>
      </c>
      <c r="AD12" s="222">
        <f>VLOOKUP($D12,Engines_all!$A$3:'Engines_all'!$V$843,22,FALSE)</f>
        <v>6187532800109643</v>
      </c>
      <c r="AE12" s="80">
        <f t="shared" ref="AE12" si="23">Y12*0.0005</f>
        <v>2.85</v>
      </c>
      <c r="AF12" s="79">
        <f>IF(E12="K",Y12*'Rest Calc'!B$16,Y12*'Rest Calc'!B$17)</f>
        <v>18012</v>
      </c>
      <c r="AG12" s="79">
        <f>IF(ALECA_Input!D$121="Standard",VLOOKUP($B12,$A$211:$J$218,6,FALSE),VLOOKUP($B12,$A$211:$J$218,10,FALSE))</f>
        <v>0</v>
      </c>
      <c r="AH12" s="163">
        <f t="shared" ref="AH12" si="24">G12/2+80</f>
        <v>131.80000000000001</v>
      </c>
      <c r="AI12" s="75">
        <v>2</v>
      </c>
      <c r="AJ12" s="74"/>
      <c r="AK12" s="74"/>
      <c r="AL12" s="74"/>
    </row>
    <row r="13" spans="1:38" x14ac:dyDescent="0.25">
      <c r="A13" s="417" t="s">
        <v>443</v>
      </c>
      <c r="B13" s="75" t="s">
        <v>394</v>
      </c>
      <c r="C13" s="74" t="s">
        <v>1242</v>
      </c>
      <c r="D13" s="74" t="s">
        <v>652</v>
      </c>
      <c r="E13" s="75" t="s">
        <v>2936</v>
      </c>
      <c r="F13" s="136">
        <v>2</v>
      </c>
      <c r="G13" s="243">
        <f>VLOOKUP(D13,Engines_all!$A$3:$AZ$843,52,FALSE)</f>
        <v>97.89</v>
      </c>
      <c r="H13" s="74">
        <f>ALECA_Input!C45*ALECA_Input!F45</f>
        <v>0</v>
      </c>
      <c r="I13" s="82">
        <f t="shared" si="0"/>
        <v>0</v>
      </c>
      <c r="J13" s="82">
        <f t="shared" si="1"/>
        <v>0</v>
      </c>
      <c r="K13" s="82">
        <f t="shared" si="2"/>
        <v>0</v>
      </c>
      <c r="L13" s="82">
        <f t="shared" si="3"/>
        <v>0</v>
      </c>
      <c r="M13" s="161">
        <f t="shared" si="4"/>
        <v>0</v>
      </c>
      <c r="N13" s="82">
        <f t="shared" si="5"/>
        <v>0</v>
      </c>
      <c r="O13" s="82">
        <f t="shared" si="6"/>
        <v>0</v>
      </c>
      <c r="P13" s="262">
        <f t="shared" si="7"/>
        <v>0</v>
      </c>
      <c r="Q13" s="76">
        <f>VLOOKUP($D13,Engines_all!$A$3:'Engines_all'!$V$843,11,FALSE)</f>
        <v>197.76599999999999</v>
      </c>
      <c r="R13" s="78">
        <f>VLOOKUP($D13,Engines_all!$A$3:'Engines_all'!$V$843,12,FALSE)</f>
        <v>3.1743858</v>
      </c>
      <c r="S13" s="78">
        <f>VLOOKUP($D13,Engines_all!$A$3:'Engines_all'!$V$843,13,FALSE)</f>
        <v>7.0753200000000002E-2</v>
      </c>
      <c r="T13" s="78">
        <f>VLOOKUP($D13,Engines_all!$A$3:'Engines_all'!$V$843,14,FALSE)</f>
        <v>0.34378380000000003</v>
      </c>
      <c r="U13" s="78">
        <f>VLOOKUP($D13,Engines_all!$A$3:'Engines_all'!$V$843,15,FALSE)</f>
        <v>2.0728385778825641E-2</v>
      </c>
      <c r="V13" s="222">
        <f>VLOOKUP($D13,Engines_all!$A$3:'Engines_all'!$V$843,16,FALSE)</f>
        <v>7.18640130802258E+16</v>
      </c>
      <c r="W13" s="77">
        <f t="shared" si="8"/>
        <v>9.8882999999999999E-2</v>
      </c>
      <c r="X13" s="78">
        <f>IF(E13="K",Q13*'Rest Calc'!B$16,Q13*'Rest Calc'!B$17)</f>
        <v>624.94056</v>
      </c>
      <c r="Y13" s="76">
        <f>VLOOKUP($D13,Engines_all!$A$3:'Engines_all'!$V$843,17,FALSE)</f>
        <v>5640</v>
      </c>
      <c r="Z13" s="76">
        <f>VLOOKUP($D13,Engines_all!$A$3:'Engines_all'!$V$843,18,FALSE)</f>
        <v>21.431999999999999</v>
      </c>
      <c r="AA13" s="76">
        <f>VLOOKUP($D13,Engines_all!$A$3:'Engines_all'!$V$843,19,FALSE)</f>
        <v>34.967999999999996</v>
      </c>
      <c r="AB13" s="76">
        <f>VLOOKUP($D13,Engines_all!$A$3:'Engines_all'!$V$843,20,FALSE)</f>
        <v>169.2</v>
      </c>
      <c r="AC13" s="76">
        <f>VLOOKUP($D13,Engines_all!$A$3:'Engines_all'!$V$843,21,FALSE)</f>
        <v>0.57667131903091384</v>
      </c>
      <c r="AD13" s="222">
        <f>VLOOKUP($D13,Engines_all!$A$3:'Engines_all'!$V$843,22,FALSE)</f>
        <v>4278005826203561</v>
      </c>
      <c r="AE13" s="80">
        <f t="shared" si="9"/>
        <v>2.82</v>
      </c>
      <c r="AF13" s="79">
        <f>IF(E13="K",Y13*'Rest Calc'!B$16,Y13*'Rest Calc'!B$17)</f>
        <v>17822.400000000001</v>
      </c>
      <c r="AG13" s="79">
        <f>IF(ALECA_Input!D$121="Standard",VLOOKUP($B13,$A$211:$J$218,6,FALSE),VLOOKUP($B13,$A$211:$J$218,10,FALSE))</f>
        <v>0</v>
      </c>
      <c r="AH13" s="163">
        <f t="shared" si="12"/>
        <v>128.94499999999999</v>
      </c>
      <c r="AI13" s="75">
        <v>3</v>
      </c>
      <c r="AJ13" s="74"/>
      <c r="AK13" s="74"/>
      <c r="AL13" s="74"/>
    </row>
    <row r="14" spans="1:38" x14ac:dyDescent="0.25">
      <c r="A14" s="417" t="s">
        <v>443</v>
      </c>
      <c r="B14" s="75" t="s">
        <v>394</v>
      </c>
      <c r="C14" s="74" t="s">
        <v>1209</v>
      </c>
      <c r="D14" s="74" t="s">
        <v>1208</v>
      </c>
      <c r="E14" s="75" t="s">
        <v>2936</v>
      </c>
      <c r="F14" s="136">
        <v>2</v>
      </c>
      <c r="G14" s="243">
        <f>VLOOKUP(D14,Engines_all!$A$3:$AZ$843,52,FALSE)</f>
        <v>104.5</v>
      </c>
      <c r="H14" s="74">
        <f>ALECA_Input!C45*ALECA_Input!I45</f>
        <v>0</v>
      </c>
      <c r="I14" s="82">
        <f t="shared" ref="I14" si="25">$H14/2*$F14*(R14+(Z14*$AG14/1000))</f>
        <v>0</v>
      </c>
      <c r="J14" s="82">
        <f t="shared" ref="J14" si="26">$H14/2*$F14*(S14+(AA14*$AG14/1000))</f>
        <v>0</v>
      </c>
      <c r="K14" s="82">
        <f t="shared" ref="K14" si="27">$H14/2*$F14*(T14+(AB14*$AG14/1000))</f>
        <v>0</v>
      </c>
      <c r="L14" s="82">
        <f t="shared" ref="L14" si="28">$H14/2*$F14*(U14+(AC14*$AG14/1000))</f>
        <v>0</v>
      </c>
      <c r="M14" s="161">
        <f t="shared" ref="M14" si="29">H14/2*$F14*(V14+AD14*AG14)</f>
        <v>0</v>
      </c>
      <c r="N14" s="82">
        <f t="shared" ref="N14" si="30">$H14/2*$F14*(W14+(AE14*$AG14/1000))</f>
        <v>0</v>
      </c>
      <c r="O14" s="82">
        <f t="shared" ref="O14" si="31">$H14/2*$F14*(X14+(AF14*$AG14/1000))</f>
        <v>0</v>
      </c>
      <c r="P14" s="262">
        <f t="shared" ref="P14" si="32">F14*H14/2*AH14/1000</f>
        <v>0</v>
      </c>
      <c r="Q14" s="76">
        <f>VLOOKUP($D14,Engines_all!$A$3:'Engines_all'!$V$843,11,FALSE)</f>
        <v>222.06000000000003</v>
      </c>
      <c r="R14" s="78">
        <f>VLOOKUP($D14,Engines_all!$A$3:'Engines_all'!$V$843,12,FALSE)</f>
        <v>2.4019080000000002</v>
      </c>
      <c r="S14" s="78">
        <f>VLOOKUP($D14,Engines_all!$A$3:'Engines_all'!$V$843,13,FALSE)</f>
        <v>5.9292000000000011E-2</v>
      </c>
      <c r="T14" s="78">
        <f>VLOOKUP($D14,Engines_all!$A$3:'Engines_all'!$V$843,14,FALSE)</f>
        <v>2.5171020000000004</v>
      </c>
      <c r="U14" s="78">
        <f>VLOOKUP($D14,Engines_all!$A$3:'Engines_all'!$V$843,15,FALSE)</f>
        <v>2.168878582011351E-2</v>
      </c>
      <c r="V14" s="222">
        <f>VLOOKUP($D14,Engines_all!$A$3:'Engines_all'!$V$843,16,FALSE)</f>
        <v>3.1865719643996192E+17</v>
      </c>
      <c r="W14" s="77">
        <f t="shared" ref="W14" si="33">Q14*0.0005</f>
        <v>0.11103000000000002</v>
      </c>
      <c r="X14" s="78">
        <f>IF(E14="K",Q14*'Rest Calc'!B$16,Q14*'Rest Calc'!B$17)</f>
        <v>701.70960000000014</v>
      </c>
      <c r="Y14" s="76">
        <f>VLOOKUP($D14,Engines_all!$A$3:'Engines_all'!$V$843,17,FALSE)</f>
        <v>6600</v>
      </c>
      <c r="Z14" s="76">
        <f>VLOOKUP($D14,Engines_all!$A$3:'Engines_all'!$V$843,18,FALSE)</f>
        <v>23.759999999999998</v>
      </c>
      <c r="AA14" s="76">
        <f>VLOOKUP($D14,Engines_all!$A$3:'Engines_all'!$V$843,19,FALSE)</f>
        <v>30.359999999999996</v>
      </c>
      <c r="AB14" s="76">
        <f>VLOOKUP($D14,Engines_all!$A$3:'Engines_all'!$V$843,20,FALSE)</f>
        <v>295.67999999999995</v>
      </c>
      <c r="AC14" s="76">
        <f>VLOOKUP($D14,Engines_all!$A$3:'Engines_all'!$V$843,21,FALSE)</f>
        <v>0.62610731683190135</v>
      </c>
      <c r="AD14" s="222">
        <f>VLOOKUP($D14,Engines_all!$A$3:'Engines_all'!$V$843,22,FALSE)</f>
        <v>5835414447464322</v>
      </c>
      <c r="AE14" s="80">
        <f t="shared" ref="AE14" si="34">Y14*0.0005</f>
        <v>3.3000000000000003</v>
      </c>
      <c r="AF14" s="79">
        <f>IF(E14="K",Y14*'Rest Calc'!B$16,Y14*'Rest Calc'!B$17)</f>
        <v>20856</v>
      </c>
      <c r="AG14" s="79">
        <f>IF(ALECA_Input!D$121="Standard",VLOOKUP($B14,$A$211:$J$218,6,FALSE),VLOOKUP($B14,$A$211:$J$218,10,FALSE))</f>
        <v>0</v>
      </c>
      <c r="AH14" s="163">
        <f t="shared" ref="AH14" si="35">G14/2+80</f>
        <v>132.25</v>
      </c>
      <c r="AI14" s="75">
        <v>3</v>
      </c>
      <c r="AJ14" s="74"/>
      <c r="AK14" s="74"/>
      <c r="AL14" s="74"/>
    </row>
    <row r="15" spans="1:38" x14ac:dyDescent="0.25">
      <c r="A15" s="417" t="s">
        <v>444</v>
      </c>
      <c r="B15" s="75" t="s">
        <v>394</v>
      </c>
      <c r="C15" s="74" t="s">
        <v>408</v>
      </c>
      <c r="D15" s="74" t="s">
        <v>3669</v>
      </c>
      <c r="E15" s="75" t="s">
        <v>2936</v>
      </c>
      <c r="F15" s="136">
        <v>2</v>
      </c>
      <c r="G15" s="243">
        <f>VLOOKUP(D15,Engines_all!$A$3:$AZ$843,52,FALSE)</f>
        <v>120.6</v>
      </c>
      <c r="H15" s="74">
        <f>ALECA_Input!C46*ALECA_Input!F46</f>
        <v>0</v>
      </c>
      <c r="I15" s="82">
        <f t="shared" si="0"/>
        <v>0</v>
      </c>
      <c r="J15" s="82">
        <f t="shared" si="1"/>
        <v>0</v>
      </c>
      <c r="K15" s="82">
        <f t="shared" si="2"/>
        <v>0</v>
      </c>
      <c r="L15" s="82">
        <f t="shared" si="3"/>
        <v>0</v>
      </c>
      <c r="M15" s="161">
        <f t="shared" si="4"/>
        <v>0</v>
      </c>
      <c r="N15" s="82">
        <f t="shared" si="5"/>
        <v>0</v>
      </c>
      <c r="O15" s="82">
        <f t="shared" si="6"/>
        <v>0</v>
      </c>
      <c r="P15" s="262">
        <f t="shared" si="7"/>
        <v>0</v>
      </c>
      <c r="Q15" s="76">
        <f>VLOOKUP($D15,Engines_all!$A$3:'Engines_all'!$V$843,11,FALSE)</f>
        <v>188.44200000000001</v>
      </c>
      <c r="R15" s="78">
        <f>VLOOKUP($D15,Engines_all!$A$3:'Engines_all'!$V$843,12,FALSE)</f>
        <v>2.8801632000000001</v>
      </c>
      <c r="S15" s="78">
        <f>VLOOKUP($D15,Engines_all!$A$3:'Engines_all'!$V$843,13,FALSE)</f>
        <v>4.9400399999999997E-3</v>
      </c>
      <c r="T15" s="78">
        <f>VLOOKUP($D15,Engines_all!$A$3:'Engines_all'!$V$843,14,FALSE)</f>
        <v>0.18823007999999999</v>
      </c>
      <c r="U15" s="78">
        <f>VLOOKUP($D15,Engines_all!$A$3:'Engines_all'!$V$843,15,FALSE)</f>
        <v>1.0641814105963354E-2</v>
      </c>
      <c r="V15" s="222">
        <f>VLOOKUP($D15,Engines_all!$A$3:'Engines_all'!$V$843,16,FALSE)</f>
        <v>3.3573533922445272E+16</v>
      </c>
      <c r="W15" s="77">
        <f t="shared" si="8"/>
        <v>9.4220999999999999E-2</v>
      </c>
      <c r="X15" s="78">
        <f>IF(E15="K",Q15*'Rest Calc'!B$16,Q15*'Rest Calc'!B$17)</f>
        <v>595.47672</v>
      </c>
      <c r="Y15" s="76">
        <f>VLOOKUP($D15,Engines_all!$A$3:'Engines_all'!$V$843,17,FALSE)</f>
        <v>5460</v>
      </c>
      <c r="Z15" s="76">
        <f>VLOOKUP($D15,Engines_all!$A$3:'Engines_all'!$V$843,18,FALSE)</f>
        <v>25.1706</v>
      </c>
      <c r="AA15" s="76">
        <f>VLOOKUP($D15,Engines_all!$A$3:'Engines_all'!$V$843,19,FALSE)</f>
        <v>1.5833999999999999</v>
      </c>
      <c r="AB15" s="76">
        <f>VLOOKUP($D15,Engines_all!$A$3:'Engines_all'!$V$843,20,FALSE)</f>
        <v>118.09979999999999</v>
      </c>
      <c r="AC15" s="76">
        <f>VLOOKUP($D15,Engines_all!$A$3:'Engines_all'!$V$843,21,FALSE)</f>
        <v>0.3405595494545044</v>
      </c>
      <c r="AD15" s="222">
        <f>VLOOKUP($D15,Engines_all!$A$3:'Engines_all'!$V$843,22,FALSE)</f>
        <v>3596715522018363</v>
      </c>
      <c r="AE15" s="80">
        <f t="shared" si="9"/>
        <v>2.73</v>
      </c>
      <c r="AF15" s="79">
        <f>IF(E15="K",Y15*'Rest Calc'!B$16,Y15*'Rest Calc'!B$17)</f>
        <v>17253.600000000002</v>
      </c>
      <c r="AG15" s="79">
        <f>IF(ALECA_Input!D$121="Standard",VLOOKUP($B15,$A$211:$J$218,6,FALSE),VLOOKUP($B15,$A$211:$J$218,10,FALSE))</f>
        <v>0</v>
      </c>
      <c r="AH15" s="163">
        <f t="shared" si="12"/>
        <v>140.30000000000001</v>
      </c>
      <c r="AI15" s="75">
        <v>3</v>
      </c>
      <c r="AJ15" s="74"/>
      <c r="AK15" s="74"/>
      <c r="AL15" s="74"/>
    </row>
    <row r="16" spans="1:38" x14ac:dyDescent="0.25">
      <c r="A16" s="417" t="s">
        <v>444</v>
      </c>
      <c r="B16" s="75" t="s">
        <v>394</v>
      </c>
      <c r="C16" s="74" t="s">
        <v>3469</v>
      </c>
      <c r="D16" s="74" t="s">
        <v>2091</v>
      </c>
      <c r="E16" s="75" t="s">
        <v>2936</v>
      </c>
      <c r="F16" s="136">
        <v>2</v>
      </c>
      <c r="G16" s="243">
        <f>VLOOKUP(D16,Engines_all!$A$3:$AZ$843,52,FALSE)</f>
        <v>107.8</v>
      </c>
      <c r="H16" s="74">
        <f>ALECA_Input!C46*ALECA_Input!I46</f>
        <v>0</v>
      </c>
      <c r="I16" s="82">
        <f t="shared" ref="I16" si="36">$H16/2*$F16*(R16+(Z16*$AG16/1000))</f>
        <v>0</v>
      </c>
      <c r="J16" s="82">
        <f t="shared" ref="J16" si="37">$H16/2*$F16*(S16+(AA16*$AG16/1000))</f>
        <v>0</v>
      </c>
      <c r="K16" s="82">
        <f t="shared" ref="K16" si="38">$H16/2*$F16*(T16+(AB16*$AG16/1000))</f>
        <v>0</v>
      </c>
      <c r="L16" s="82">
        <f t="shared" ref="L16" si="39">$H16/2*$F16*(U16+(AC16*$AG16/1000))</f>
        <v>0</v>
      </c>
      <c r="M16" s="161">
        <f t="shared" ref="M16" si="40">H16/2*$F16*(V16+AD16*AG16)</f>
        <v>0</v>
      </c>
      <c r="N16" s="82">
        <f t="shared" ref="N16" si="41">$H16/2*$F16*(W16+(AE16*$AG16/1000))</f>
        <v>0</v>
      </c>
      <c r="O16" s="82">
        <f t="shared" ref="O16" si="42">$H16/2*$F16*(X16+(AF16*$AG16/1000))</f>
        <v>0</v>
      </c>
      <c r="P16" s="262">
        <f t="shared" ref="P16" si="43">F16*H16/2*AH16/1000</f>
        <v>0</v>
      </c>
      <c r="Q16" s="76">
        <f>VLOOKUP($D16,Engines_all!$A$3:'Engines_all'!$V$843,11,FALSE)</f>
        <v>159.41999999999999</v>
      </c>
      <c r="R16" s="78">
        <f>VLOOKUP($D16,Engines_all!$A$3:'Engines_all'!$V$843,12,FALSE)</f>
        <v>2.0376233999999998</v>
      </c>
      <c r="S16" s="78">
        <f>VLOOKUP($D16,Engines_all!$A$3:'Engines_all'!$V$843,13,FALSE)</f>
        <v>1.191E-2</v>
      </c>
      <c r="T16" s="78">
        <f>VLOOKUP($D16,Engines_all!$A$3:'Engines_all'!$V$843,14,FALSE)</f>
        <v>0.35990519999999998</v>
      </c>
      <c r="U16" s="78">
        <f>VLOOKUP($D16,Engines_all!$A$3:'Engines_all'!$V$843,15,FALSE)</f>
        <v>1.5582928200921638E-2</v>
      </c>
      <c r="V16" s="222">
        <f>VLOOKUP($D16,Engines_all!$A$3:'Engines_all'!$V$843,16,FALSE)</f>
        <v>5.1332498528345952E+16</v>
      </c>
      <c r="W16" s="77">
        <f t="shared" ref="W16" si="44">Q16*0.0005</f>
        <v>7.9709999999999989E-2</v>
      </c>
      <c r="X16" s="78">
        <f>IF(E16="K",Q16*'Rest Calc'!B$16,Q16*'Rest Calc'!B$17)</f>
        <v>503.7672</v>
      </c>
      <c r="Y16" s="76">
        <f>VLOOKUP($D16,Engines_all!$A$3:'Engines_all'!$V$843,17,FALSE)</f>
        <v>4800</v>
      </c>
      <c r="Z16" s="76">
        <f>VLOOKUP($D16,Engines_all!$A$3:'Engines_all'!$V$843,18,FALSE)</f>
        <v>22.655999999999999</v>
      </c>
      <c r="AA16" s="76">
        <f>VLOOKUP($D16,Engines_all!$A$3:'Engines_all'!$V$843,19,FALSE)</f>
        <v>2.64</v>
      </c>
      <c r="AB16" s="76">
        <f>VLOOKUP($D16,Engines_all!$A$3:'Engines_all'!$V$843,20,FALSE)</f>
        <v>142.94399999999999</v>
      </c>
      <c r="AC16" s="76">
        <f>VLOOKUP($D16,Engines_all!$A$3:'Engines_all'!$V$843,21,FALSE)</f>
        <v>0.30236221987919226</v>
      </c>
      <c r="AD16" s="222">
        <f>VLOOKUP($D16,Engines_all!$A$3:'Engines_all'!$V$843,22,FALSE)</f>
        <v>2576632839567286</v>
      </c>
      <c r="AE16" s="80">
        <f t="shared" ref="AE16" si="45">Y16*0.0005</f>
        <v>2.4</v>
      </c>
      <c r="AF16" s="79">
        <f>IF(E16="K",Y16*'Rest Calc'!B$16,Y16*'Rest Calc'!B$17)</f>
        <v>15168</v>
      </c>
      <c r="AG16" s="79">
        <f>IF(ALECA_Input!D$121="Standard",VLOOKUP($B16,$A$211:$J$218,6,FALSE),VLOOKUP($B16,$A$211:$J$218,10,FALSE))</f>
        <v>0</v>
      </c>
      <c r="AH16" s="163">
        <f t="shared" ref="AH16" si="46">G16/2+80</f>
        <v>133.9</v>
      </c>
      <c r="AI16" s="75">
        <v>3</v>
      </c>
      <c r="AJ16" s="74"/>
      <c r="AK16" s="74"/>
      <c r="AL16" s="74"/>
    </row>
    <row r="17" spans="1:38" s="400" customFormat="1" x14ac:dyDescent="0.25">
      <c r="A17" s="400" t="s">
        <v>444</v>
      </c>
      <c r="B17" s="401" t="s">
        <v>394</v>
      </c>
      <c r="C17" s="400" t="s">
        <v>3469</v>
      </c>
      <c r="D17" s="400" t="s">
        <v>2091</v>
      </c>
      <c r="E17" s="401" t="s">
        <v>2936</v>
      </c>
      <c r="F17" s="402">
        <v>2</v>
      </c>
      <c r="G17" s="403">
        <f>VLOOKUP(D17,Engines_all!$A$3:$AZ$843,52,FALSE)</f>
        <v>107.8</v>
      </c>
      <c r="I17" s="404">
        <f t="shared" si="0"/>
        <v>0</v>
      </c>
      <c r="J17" s="404">
        <f t="shared" si="1"/>
        <v>0</v>
      </c>
      <c r="K17" s="404">
        <f t="shared" si="2"/>
        <v>0</v>
      </c>
      <c r="L17" s="404">
        <f t="shared" si="3"/>
        <v>0</v>
      </c>
      <c r="M17" s="405">
        <f t="shared" si="4"/>
        <v>0</v>
      </c>
      <c r="N17" s="404">
        <f t="shared" si="5"/>
        <v>0</v>
      </c>
      <c r="O17" s="404">
        <f t="shared" si="6"/>
        <v>0</v>
      </c>
      <c r="P17" s="406">
        <f t="shared" si="7"/>
        <v>0</v>
      </c>
      <c r="Q17" s="407">
        <f>VLOOKUP($D17,Engines_all!$A$3:'Engines_all'!$V$843,11,FALSE)</f>
        <v>159.41999999999999</v>
      </c>
      <c r="R17" s="408">
        <f>VLOOKUP($D17,Engines_all!$A$3:'Engines_all'!$V$843,12,FALSE)</f>
        <v>2.0376233999999998</v>
      </c>
      <c r="S17" s="408">
        <f>VLOOKUP($D17,Engines_all!$A$3:'Engines_all'!$V$843,13,FALSE)</f>
        <v>1.191E-2</v>
      </c>
      <c r="T17" s="408">
        <f>VLOOKUP($D17,Engines_all!$A$3:'Engines_all'!$V$843,14,FALSE)</f>
        <v>0.35990519999999998</v>
      </c>
      <c r="U17" s="408">
        <f>VLOOKUP($D17,Engines_all!$A$3:'Engines_all'!$V$843,15,FALSE)</f>
        <v>1.5582928200921638E-2</v>
      </c>
      <c r="V17" s="409">
        <f>VLOOKUP($D17,Engines_all!$A$3:'Engines_all'!$V$843,16,FALSE)</f>
        <v>5.1332498528345952E+16</v>
      </c>
      <c r="W17" s="410">
        <f t="shared" si="8"/>
        <v>7.9709999999999989E-2</v>
      </c>
      <c r="X17" s="408">
        <f>IF(E17="K",Q17*'Rest Calc'!B$16,Q17*'Rest Calc'!B$17)</f>
        <v>503.7672</v>
      </c>
      <c r="Y17" s="407">
        <f>VLOOKUP($D17,Engines_all!$A$3:'Engines_all'!$V$843,17,FALSE)</f>
        <v>4800</v>
      </c>
      <c r="Z17" s="407">
        <f>VLOOKUP($D17,Engines_all!$A$3:'Engines_all'!$V$843,18,FALSE)</f>
        <v>22.655999999999999</v>
      </c>
      <c r="AA17" s="407">
        <f>VLOOKUP($D17,Engines_all!$A$3:'Engines_all'!$V$843,19,FALSE)</f>
        <v>2.64</v>
      </c>
      <c r="AB17" s="407">
        <f>VLOOKUP($D17,Engines_all!$A$3:'Engines_all'!$V$843,20,FALSE)</f>
        <v>142.94399999999999</v>
      </c>
      <c r="AC17" s="407">
        <f>VLOOKUP($D17,Engines_all!$A$3:'Engines_all'!$V$843,21,FALSE)</f>
        <v>0.30236221987919226</v>
      </c>
      <c r="AD17" s="409">
        <f>VLOOKUP($D17,Engines_all!$A$3:'Engines_all'!$V$843,22,FALSE)</f>
        <v>2576632839567286</v>
      </c>
      <c r="AE17" s="411">
        <f t="shared" si="9"/>
        <v>2.4</v>
      </c>
      <c r="AF17" s="412">
        <f>IF(E17="K",Y17*'Rest Calc'!B$16,Y17*'Rest Calc'!B$17)</f>
        <v>15168</v>
      </c>
      <c r="AG17" s="79">
        <f>IF(ALECA_Input!D$121="Standard",VLOOKUP($B17,$A$211:$J$218,6,FALSE),VLOOKUP($B17,$A$211:$J$218,10,FALSE))</f>
        <v>0</v>
      </c>
      <c r="AH17" s="413">
        <f t="shared" si="12"/>
        <v>133.9</v>
      </c>
      <c r="AI17" s="401">
        <v>3</v>
      </c>
    </row>
    <row r="18" spans="1:38" x14ac:dyDescent="0.25">
      <c r="A18" s="417" t="s">
        <v>445</v>
      </c>
      <c r="B18" s="75" t="s">
        <v>394</v>
      </c>
      <c r="C18" s="74" t="s">
        <v>1206</v>
      </c>
      <c r="D18" s="74" t="s">
        <v>1208</v>
      </c>
      <c r="E18" s="75" t="s">
        <v>2936</v>
      </c>
      <c r="F18" s="136">
        <v>2</v>
      </c>
      <c r="G18" s="243">
        <f>VLOOKUP(D18,Engines_all!$A$3:$AZ$843,52,FALSE)</f>
        <v>104.5</v>
      </c>
      <c r="H18" s="74">
        <f>ALECA_Input!C47*ALECA_Input!F47</f>
        <v>0</v>
      </c>
      <c r="I18" s="82">
        <f t="shared" si="0"/>
        <v>0</v>
      </c>
      <c r="J18" s="82">
        <f t="shared" si="1"/>
        <v>0</v>
      </c>
      <c r="K18" s="82">
        <f t="shared" si="2"/>
        <v>0</v>
      </c>
      <c r="L18" s="82">
        <f t="shared" si="3"/>
        <v>0</v>
      </c>
      <c r="M18" s="161">
        <f t="shared" si="4"/>
        <v>0</v>
      </c>
      <c r="N18" s="82">
        <f t="shared" si="5"/>
        <v>0</v>
      </c>
      <c r="O18" s="82">
        <f t="shared" si="6"/>
        <v>0</v>
      </c>
      <c r="P18" s="262">
        <f t="shared" si="7"/>
        <v>0</v>
      </c>
      <c r="Q18" s="76">
        <f>VLOOKUP($D18,Engines_all!$A$3:'Engines_all'!$V$843,11,FALSE)</f>
        <v>222.06000000000003</v>
      </c>
      <c r="R18" s="78">
        <f>VLOOKUP($D18,Engines_all!$A$3:'Engines_all'!$V$843,12,FALSE)</f>
        <v>2.4019080000000002</v>
      </c>
      <c r="S18" s="78">
        <f>VLOOKUP($D18,Engines_all!$A$3:'Engines_all'!$V$843,13,FALSE)</f>
        <v>5.9292000000000011E-2</v>
      </c>
      <c r="T18" s="78">
        <f>VLOOKUP($D18,Engines_all!$A$3:'Engines_all'!$V$843,14,FALSE)</f>
        <v>2.5171020000000004</v>
      </c>
      <c r="U18" s="78">
        <f>VLOOKUP($D18,Engines_all!$A$3:'Engines_all'!$V$843,15,FALSE)</f>
        <v>2.168878582011351E-2</v>
      </c>
      <c r="V18" s="222">
        <f>VLOOKUP($D18,Engines_all!$A$3:'Engines_all'!$V$843,16,FALSE)</f>
        <v>3.1865719643996192E+17</v>
      </c>
      <c r="W18" s="77">
        <f t="shared" si="8"/>
        <v>0.11103000000000002</v>
      </c>
      <c r="X18" s="78">
        <f>IF(E18="K",Q18*'Rest Calc'!B$16,Q18*'Rest Calc'!B$17)</f>
        <v>701.70960000000014</v>
      </c>
      <c r="Y18" s="76">
        <f>VLOOKUP($D18,Engines_all!$A$3:'Engines_all'!$V$843,17,FALSE)</f>
        <v>6600</v>
      </c>
      <c r="Z18" s="76">
        <f>VLOOKUP($D18,Engines_all!$A$3:'Engines_all'!$V$843,18,FALSE)</f>
        <v>23.759999999999998</v>
      </c>
      <c r="AA18" s="76">
        <f>VLOOKUP($D18,Engines_all!$A$3:'Engines_all'!$V$843,19,FALSE)</f>
        <v>30.359999999999996</v>
      </c>
      <c r="AB18" s="76">
        <f>VLOOKUP($D18,Engines_all!$A$3:'Engines_all'!$V$843,20,FALSE)</f>
        <v>295.67999999999995</v>
      </c>
      <c r="AC18" s="76">
        <f>VLOOKUP($D18,Engines_all!$A$3:'Engines_all'!$V$843,21,FALSE)</f>
        <v>0.62610731683190135</v>
      </c>
      <c r="AD18" s="222">
        <f>VLOOKUP($D18,Engines_all!$A$3:'Engines_all'!$V$843,22,FALSE)</f>
        <v>5835414447464322</v>
      </c>
      <c r="AE18" s="80">
        <f t="shared" si="9"/>
        <v>3.3000000000000003</v>
      </c>
      <c r="AF18" s="79">
        <f>IF(E18="K",Y18*'Rest Calc'!B$16,Y18*'Rest Calc'!B$17)</f>
        <v>20856</v>
      </c>
      <c r="AG18" s="79">
        <f>IF(ALECA_Input!D$121="Standard",VLOOKUP($B18,$A$211:$J$218,6,FALSE),VLOOKUP($B18,$A$211:$J$218,10,FALSE))</f>
        <v>0</v>
      </c>
      <c r="AH18" s="163">
        <f t="shared" si="12"/>
        <v>132.25</v>
      </c>
      <c r="AI18" s="75">
        <v>3</v>
      </c>
      <c r="AJ18" s="74"/>
      <c r="AK18" s="74"/>
      <c r="AL18" s="74"/>
    </row>
    <row r="19" spans="1:38" x14ac:dyDescent="0.25">
      <c r="A19" s="417" t="s">
        <v>445</v>
      </c>
      <c r="B19" s="75" t="s">
        <v>394</v>
      </c>
      <c r="C19" s="74" t="s">
        <v>1291</v>
      </c>
      <c r="D19" s="74" t="s">
        <v>1290</v>
      </c>
      <c r="E19" s="75" t="s">
        <v>2936</v>
      </c>
      <c r="F19" s="136">
        <v>2</v>
      </c>
      <c r="G19" s="243">
        <f>VLOOKUP(D19,Engines_all!$A$3:$AZ$843,52,FALSE)</f>
        <v>120.1</v>
      </c>
      <c r="H19" s="74">
        <f>ALECA_Input!C47*ALECA_Input!I47</f>
        <v>0</v>
      </c>
      <c r="I19" s="82">
        <f t="shared" si="0"/>
        <v>0</v>
      </c>
      <c r="J19" s="82">
        <f t="shared" si="1"/>
        <v>0</v>
      </c>
      <c r="K19" s="82">
        <f t="shared" si="2"/>
        <v>0</v>
      </c>
      <c r="L19" s="82">
        <f t="shared" si="3"/>
        <v>0</v>
      </c>
      <c r="M19" s="161">
        <f t="shared" si="4"/>
        <v>0</v>
      </c>
      <c r="N19" s="82">
        <f t="shared" si="5"/>
        <v>0</v>
      </c>
      <c r="O19" s="82">
        <f t="shared" si="6"/>
        <v>0</v>
      </c>
      <c r="P19" s="262">
        <f t="shared" si="7"/>
        <v>0</v>
      </c>
      <c r="Q19" s="76">
        <f>VLOOKUP($D19,Engines_all!$A$3:'Engines_all'!$V$843,11,FALSE)</f>
        <v>247.75199999999998</v>
      </c>
      <c r="R19" s="78">
        <f>VLOOKUP($D19,Engines_all!$A$3:'Engines_all'!$V$843,12,FALSE)</f>
        <v>3.8413915200000002</v>
      </c>
      <c r="S19" s="78">
        <f>VLOOKUP($D19,Engines_all!$A$3:'Engines_all'!$V$843,13,FALSE)</f>
        <v>7.2302400000000006E-3</v>
      </c>
      <c r="T19" s="78">
        <f>VLOOKUP($D19,Engines_all!$A$3:'Engines_all'!$V$843,14,FALSE)</f>
        <v>0.27754428000000003</v>
      </c>
      <c r="U19" s="78">
        <f>VLOOKUP($D19,Engines_all!$A$3:'Engines_all'!$V$843,15,FALSE)</f>
        <v>2.6052121769597186E-2</v>
      </c>
      <c r="V19" s="222">
        <f>VLOOKUP($D19,Engines_all!$A$3:'Engines_all'!$V$843,16,FALSE)</f>
        <v>1.4342922722570544E+17</v>
      </c>
      <c r="W19" s="77">
        <f t="shared" si="8"/>
        <v>0.123876</v>
      </c>
      <c r="X19" s="78">
        <f>IF(E19="K",Q19*'Rest Calc'!B$16,Q19*'Rest Calc'!B$17)</f>
        <v>782.89631999999995</v>
      </c>
      <c r="Y19" s="76">
        <f>VLOOKUP($D19,Engines_all!$A$3:'Engines_all'!$V$843,17,FALSE)</f>
        <v>6119.9999999999991</v>
      </c>
      <c r="Z19" s="76">
        <f>VLOOKUP($D19,Engines_all!$A$3:'Engines_all'!$V$843,18,FALSE)</f>
        <v>25.826399999999996</v>
      </c>
      <c r="AA19" s="76">
        <f>VLOOKUP($D19,Engines_all!$A$3:'Engines_all'!$V$843,19,FALSE)</f>
        <v>11.750399999999997</v>
      </c>
      <c r="AB19" s="76">
        <f>VLOOKUP($D19,Engines_all!$A$3:'Engines_all'!$V$843,20,FALSE)</f>
        <v>196.26839999999999</v>
      </c>
      <c r="AC19" s="76">
        <f>VLOOKUP($D19,Engines_all!$A$3:'Engines_all'!$V$843,21,FALSE)</f>
        <v>0.50379959400829011</v>
      </c>
      <c r="AD19" s="222">
        <f>VLOOKUP($D19,Engines_all!$A$3:'Engines_all'!$V$843,22,FALSE)</f>
        <v>6643456269591406</v>
      </c>
      <c r="AE19" s="80">
        <f t="shared" si="9"/>
        <v>3.0599999999999996</v>
      </c>
      <c r="AF19" s="79">
        <f>IF(E19="K",Y19*'Rest Calc'!B$16,Y19*'Rest Calc'!B$17)</f>
        <v>19339.199999999997</v>
      </c>
      <c r="AG19" s="79">
        <f>IF(ALECA_Input!D$121="Standard",VLOOKUP($B19,$A$211:$J$218,6,FALSE),VLOOKUP($B19,$A$211:$J$218,10,FALSE))</f>
        <v>0</v>
      </c>
      <c r="AH19" s="163">
        <f t="shared" si="12"/>
        <v>140.05000000000001</v>
      </c>
      <c r="AI19" s="75">
        <v>3</v>
      </c>
      <c r="AJ19" s="74"/>
      <c r="AK19" s="74"/>
      <c r="AL19" s="74"/>
    </row>
    <row r="20" spans="1:38" s="400" customFormat="1" x14ac:dyDescent="0.25">
      <c r="A20" s="400" t="s">
        <v>445</v>
      </c>
      <c r="B20" s="401" t="s">
        <v>394</v>
      </c>
      <c r="C20" s="400" t="s">
        <v>1291</v>
      </c>
      <c r="D20" s="400" t="s">
        <v>2601</v>
      </c>
      <c r="E20" s="401" t="s">
        <v>2936</v>
      </c>
      <c r="F20" s="402">
        <v>2</v>
      </c>
      <c r="G20" s="403">
        <f>VLOOKUP(D20,Engines_all!$A$3:$AZ$843,52,FALSE)</f>
        <v>120.1</v>
      </c>
      <c r="I20" s="404">
        <f t="shared" ref="I20" si="47">$H20/2*$F20*(R20+(Z20*$AG20/1000))</f>
        <v>0</v>
      </c>
      <c r="J20" s="404">
        <f t="shared" ref="J20" si="48">$H20/2*$F20*(S20+(AA20*$AG20/1000))</f>
        <v>0</v>
      </c>
      <c r="K20" s="404">
        <f t="shared" ref="K20" si="49">$H20/2*$F20*(T20+(AB20*$AG20/1000))</f>
        <v>0</v>
      </c>
      <c r="L20" s="404">
        <f t="shared" ref="L20" si="50">$H20/2*$F20*(U20+(AC20*$AG20/1000))</f>
        <v>0</v>
      </c>
      <c r="M20" s="405">
        <f t="shared" ref="M20" si="51">H20/2*$F20*(V20+AD20*AG20)</f>
        <v>0</v>
      </c>
      <c r="N20" s="404">
        <f t="shared" ref="N20" si="52">$H20/2*$F20*(W20+(AE20*$AG20/1000))</f>
        <v>0</v>
      </c>
      <c r="O20" s="404">
        <f t="shared" ref="O20" si="53">$H20/2*$F20*(X20+(AF20*$AG20/1000))</f>
        <v>0</v>
      </c>
      <c r="P20" s="406">
        <f t="shared" ref="P20" si="54">F20*H20/2*AH20/1000</f>
        <v>0</v>
      </c>
      <c r="Q20" s="407">
        <f>VLOOKUP($D20,Engines_all!$A$3:'Engines_all'!$V$843,11,FALSE)</f>
        <v>246.798</v>
      </c>
      <c r="R20" s="408">
        <f>VLOOKUP($D20,Engines_all!$A$3:'Engines_all'!$V$843,12,FALSE)</f>
        <v>4.3941229500000007</v>
      </c>
      <c r="S20" s="408">
        <f>VLOOKUP($D20,Engines_all!$A$3:'Engines_all'!$V$843,13,FALSE)</f>
        <v>3.9582180000000008E-2</v>
      </c>
      <c r="T20" s="408">
        <f>VLOOKUP($D20,Engines_all!$A$3:'Engines_all'!$V$843,14,FALSE)</f>
        <v>0.30175827000000005</v>
      </c>
      <c r="U20" s="408">
        <f>VLOOKUP($D20,Engines_all!$A$3:'Engines_all'!$V$843,15,FALSE)</f>
        <v>2.5581348787360399E-2</v>
      </c>
      <c r="V20" s="409">
        <f>VLOOKUP($D20,Engines_all!$A$3:'Engines_all'!$V$843,16,FALSE)</f>
        <v>1.1557026761154459E+17</v>
      </c>
      <c r="W20" s="410">
        <f t="shared" ref="W20" si="55">Q20*0.0005</f>
        <v>0.12339900000000001</v>
      </c>
      <c r="X20" s="408">
        <f>IF(E20="K",Q20*'Rest Calc'!B$16,Q20*'Rest Calc'!B$17)</f>
        <v>779.88168000000007</v>
      </c>
      <c r="Y20" s="407">
        <f>VLOOKUP($D20,Engines_all!$A$3:'Engines_all'!$V$843,17,FALSE)</f>
        <v>6180</v>
      </c>
      <c r="Z20" s="407">
        <f>VLOOKUP($D20,Engines_all!$A$3:'Engines_all'!$V$843,18,FALSE)</f>
        <v>26.326799999999999</v>
      </c>
      <c r="AA20" s="407">
        <f>VLOOKUP($D20,Engines_all!$A$3:'Engines_all'!$V$843,19,FALSE)</f>
        <v>20.146799999999999</v>
      </c>
      <c r="AB20" s="407">
        <f>VLOOKUP($D20,Engines_all!$A$3:'Engines_all'!$V$843,20,FALSE)</f>
        <v>171.4023</v>
      </c>
      <c r="AC20" s="407">
        <f>VLOOKUP($D20,Engines_all!$A$3:'Engines_all'!$V$843,21,FALSE)</f>
        <v>0.5383878495028116</v>
      </c>
      <c r="AD20" s="409">
        <f>VLOOKUP($D20,Engines_all!$A$3:'Engines_all'!$V$843,22,FALSE)</f>
        <v>5626478901691464</v>
      </c>
      <c r="AE20" s="411">
        <f t="shared" ref="AE20" si="56">Y20*0.0005</f>
        <v>3.09</v>
      </c>
      <c r="AF20" s="412">
        <f>IF(E20="K",Y20*'Rest Calc'!B$16,Y20*'Rest Calc'!B$17)</f>
        <v>19528.8</v>
      </c>
      <c r="AG20" s="79">
        <f>IF(ALECA_Input!D$121="Standard",VLOOKUP($B20,$A$211:$J$218,6,FALSE),VLOOKUP($B20,$A$211:$J$218,10,FALSE))</f>
        <v>0</v>
      </c>
      <c r="AH20" s="413">
        <f t="shared" ref="AH20" si="57">G20/2+80</f>
        <v>140.05000000000001</v>
      </c>
      <c r="AI20" s="401">
        <v>3</v>
      </c>
    </row>
    <row r="21" spans="1:38" x14ac:dyDescent="0.25">
      <c r="A21" s="417" t="s">
        <v>446</v>
      </c>
      <c r="B21" s="75" t="s">
        <v>394</v>
      </c>
      <c r="C21" s="74" t="s">
        <v>408</v>
      </c>
      <c r="D21" s="74" t="s">
        <v>3669</v>
      </c>
      <c r="E21" s="75" t="s">
        <v>2936</v>
      </c>
      <c r="F21" s="136">
        <v>2</v>
      </c>
      <c r="G21" s="243">
        <f>VLOOKUP(D21,Engines_all!$A$3:$AZ$843,52,FALSE)</f>
        <v>120.6</v>
      </c>
      <c r="H21" s="74">
        <f>ALECA_Input!C48*ALECA_Input!F48</f>
        <v>0</v>
      </c>
      <c r="I21" s="82">
        <f t="shared" si="0"/>
        <v>0</v>
      </c>
      <c r="J21" s="82">
        <f t="shared" si="1"/>
        <v>0</v>
      </c>
      <c r="K21" s="82">
        <f t="shared" si="2"/>
        <v>0</v>
      </c>
      <c r="L21" s="82">
        <f t="shared" si="3"/>
        <v>0</v>
      </c>
      <c r="M21" s="161">
        <f t="shared" si="4"/>
        <v>0</v>
      </c>
      <c r="N21" s="82">
        <f t="shared" si="5"/>
        <v>0</v>
      </c>
      <c r="O21" s="82">
        <f t="shared" si="6"/>
        <v>0</v>
      </c>
      <c r="P21" s="262">
        <f t="shared" si="7"/>
        <v>0</v>
      </c>
      <c r="Q21" s="76">
        <f>VLOOKUP($D21,Engines_all!$A$3:'Engines_all'!$V$843,11,FALSE)</f>
        <v>188.44200000000001</v>
      </c>
      <c r="R21" s="78">
        <f>VLOOKUP($D21,Engines_all!$A$3:'Engines_all'!$V$843,12,FALSE)</f>
        <v>2.8801632000000001</v>
      </c>
      <c r="S21" s="78">
        <f>VLOOKUP($D21,Engines_all!$A$3:'Engines_all'!$V$843,13,FALSE)</f>
        <v>4.9400399999999997E-3</v>
      </c>
      <c r="T21" s="78">
        <f>VLOOKUP($D21,Engines_all!$A$3:'Engines_all'!$V$843,14,FALSE)</f>
        <v>0.18823007999999999</v>
      </c>
      <c r="U21" s="78">
        <f>VLOOKUP($D21,Engines_all!$A$3:'Engines_all'!$V$843,15,FALSE)</f>
        <v>1.0641814105963354E-2</v>
      </c>
      <c r="V21" s="222">
        <f>VLOOKUP($D21,Engines_all!$A$3:'Engines_all'!$V$843,16,FALSE)</f>
        <v>3.3573533922445272E+16</v>
      </c>
      <c r="W21" s="77">
        <f t="shared" si="8"/>
        <v>9.4220999999999999E-2</v>
      </c>
      <c r="X21" s="78">
        <f>IF(E21="K",Q21*'Rest Calc'!B$16,Q21*'Rest Calc'!B$17)</f>
        <v>595.47672</v>
      </c>
      <c r="Y21" s="76">
        <f>VLOOKUP($D21,Engines_all!$A$3:'Engines_all'!$V$843,17,FALSE)</f>
        <v>5460</v>
      </c>
      <c r="Z21" s="76">
        <f>VLOOKUP($D21,Engines_all!$A$3:'Engines_all'!$V$843,18,FALSE)</f>
        <v>25.1706</v>
      </c>
      <c r="AA21" s="76">
        <f>VLOOKUP($D21,Engines_all!$A$3:'Engines_all'!$V$843,19,FALSE)</f>
        <v>1.5833999999999999</v>
      </c>
      <c r="AB21" s="76">
        <f>VLOOKUP($D21,Engines_all!$A$3:'Engines_all'!$V$843,20,FALSE)</f>
        <v>118.09979999999999</v>
      </c>
      <c r="AC21" s="76">
        <f>VLOOKUP($D21,Engines_all!$A$3:'Engines_all'!$V$843,21,FALSE)</f>
        <v>0.3405595494545044</v>
      </c>
      <c r="AD21" s="222">
        <f>VLOOKUP($D21,Engines_all!$A$3:'Engines_all'!$V$843,22,FALSE)</f>
        <v>3596715522018363</v>
      </c>
      <c r="AE21" s="80">
        <f t="shared" si="9"/>
        <v>2.73</v>
      </c>
      <c r="AF21" s="79">
        <f>IF(E21="K",Y21*'Rest Calc'!B$16,Y21*'Rest Calc'!B$17)</f>
        <v>17253.600000000002</v>
      </c>
      <c r="AG21" s="79">
        <f>IF(ALECA_Input!D$121="Standard",VLOOKUP($B21,$A$211:$J$218,6,FALSE),VLOOKUP($B21,$A$211:$J$218,10,FALSE))</f>
        <v>0</v>
      </c>
      <c r="AH21" s="163">
        <f t="shared" si="12"/>
        <v>140.30000000000001</v>
      </c>
      <c r="AI21" s="75">
        <v>3</v>
      </c>
      <c r="AJ21" s="74"/>
      <c r="AK21" s="74"/>
      <c r="AL21" s="74"/>
    </row>
    <row r="22" spans="1:38" x14ac:dyDescent="0.25">
      <c r="A22" s="417" t="s">
        <v>446</v>
      </c>
      <c r="B22" s="75" t="s">
        <v>394</v>
      </c>
      <c r="C22" s="74" t="s">
        <v>402</v>
      </c>
      <c r="D22" s="74" t="s">
        <v>2095</v>
      </c>
      <c r="E22" s="75" t="s">
        <v>2936</v>
      </c>
      <c r="F22" s="136">
        <v>2</v>
      </c>
      <c r="G22" s="243">
        <f>VLOOKUP(D22,Engines_all!$A$3:$AZ$843,52,FALSE)</f>
        <v>120.4</v>
      </c>
      <c r="H22" s="74">
        <f>ALECA_Input!C48*ALECA_Input!I48</f>
        <v>0</v>
      </c>
      <c r="I22" s="82">
        <f t="shared" si="0"/>
        <v>0</v>
      </c>
      <c r="J22" s="82">
        <f t="shared" si="1"/>
        <v>0</v>
      </c>
      <c r="K22" s="82">
        <f t="shared" si="2"/>
        <v>0</v>
      </c>
      <c r="L22" s="82">
        <f t="shared" si="3"/>
        <v>0</v>
      </c>
      <c r="M22" s="161">
        <f t="shared" si="4"/>
        <v>0</v>
      </c>
      <c r="N22" s="82">
        <f t="shared" si="5"/>
        <v>0</v>
      </c>
      <c r="O22" s="82">
        <f t="shared" si="6"/>
        <v>0</v>
      </c>
      <c r="P22" s="262">
        <f t="shared" si="7"/>
        <v>0</v>
      </c>
      <c r="Q22" s="76">
        <f>VLOOKUP($D22,Engines_all!$A$3:'Engines_all'!$V$843,11,FALSE)</f>
        <v>177.72</v>
      </c>
      <c r="R22" s="78">
        <f>VLOOKUP($D22,Engines_all!$A$3:'Engines_all'!$V$843,12,FALSE)</f>
        <v>2.4905016</v>
      </c>
      <c r="S22" s="78">
        <f>VLOOKUP($D22,Engines_all!$A$3:'Engines_all'!$V$843,13,FALSE)</f>
        <v>5.323200000000001E-3</v>
      </c>
      <c r="T22" s="78">
        <f>VLOOKUP($D22,Engines_all!$A$3:'Engines_all'!$V$843,14,FALSE)</f>
        <v>0.33236880000000002</v>
      </c>
      <c r="U22" s="78">
        <f>VLOOKUP($D22,Engines_all!$A$3:'Engines_all'!$V$843,15,FALSE)</f>
        <v>1.8179982316630462E-2</v>
      </c>
      <c r="V22" s="222">
        <f>VLOOKUP($D22,Engines_all!$A$3:'Engines_all'!$V$843,16,FALSE)</f>
        <v>6.6987962480368448E+16</v>
      </c>
      <c r="W22" s="77">
        <f t="shared" si="8"/>
        <v>8.8859999999999995E-2</v>
      </c>
      <c r="X22" s="78">
        <f>IF(E22="K",Q22*'Rest Calc'!B$16,Q22*'Rest Calc'!B$17)</f>
        <v>561.59519999999998</v>
      </c>
      <c r="Y22" s="76">
        <f>VLOOKUP($D22,Engines_all!$A$3:'Engines_all'!$V$843,17,FALSE)</f>
        <v>4800</v>
      </c>
      <c r="Z22" s="76">
        <f>VLOOKUP($D22,Engines_all!$A$3:'Engines_all'!$V$843,18,FALSE)</f>
        <v>23.231999999999999</v>
      </c>
      <c r="AA22" s="76">
        <f>VLOOKUP($D22,Engines_all!$A$3:'Engines_all'!$V$843,19,FALSE)</f>
        <v>2.0640000000000001</v>
      </c>
      <c r="AB22" s="76">
        <f>VLOOKUP($D22,Engines_all!$A$3:'Engines_all'!$V$843,20,FALSE)</f>
        <v>134.06399999999999</v>
      </c>
      <c r="AC22" s="76">
        <f>VLOOKUP($D22,Engines_all!$A$3:'Engines_all'!$V$843,21,FALSE)</f>
        <v>0.29521145310525793</v>
      </c>
      <c r="AD22" s="222">
        <f>VLOOKUP($D22,Engines_all!$A$3:'Engines_all'!$V$843,22,FALSE)</f>
        <v>2395144984605241</v>
      </c>
      <c r="AE22" s="80">
        <f t="shared" si="9"/>
        <v>2.4</v>
      </c>
      <c r="AF22" s="79">
        <f>IF(E22="K",Y22*'Rest Calc'!B$16,Y22*'Rest Calc'!B$17)</f>
        <v>15168</v>
      </c>
      <c r="AG22" s="79">
        <f>IF(ALECA_Input!D$121="Standard",VLOOKUP($B22,$A$211:$J$218,6,FALSE),VLOOKUP($B22,$A$211:$J$218,10,FALSE))</f>
        <v>0</v>
      </c>
      <c r="AH22" s="163">
        <v>90</v>
      </c>
      <c r="AI22" s="75">
        <v>8</v>
      </c>
      <c r="AJ22" s="74"/>
      <c r="AK22" s="74"/>
      <c r="AL22" s="74"/>
    </row>
    <row r="23" spans="1:38" x14ac:dyDescent="0.25">
      <c r="A23" s="417" t="s">
        <v>447</v>
      </c>
      <c r="B23" s="75" t="s">
        <v>394</v>
      </c>
      <c r="C23" s="74" t="s">
        <v>1202</v>
      </c>
      <c r="D23" s="74" t="s">
        <v>1201</v>
      </c>
      <c r="E23" s="75" t="s">
        <v>2936</v>
      </c>
      <c r="F23" s="136">
        <v>2</v>
      </c>
      <c r="G23" s="243">
        <f>VLOOKUP(D23,Engines_all!$A$3:$AZ$843,52,FALSE)</f>
        <v>133.5</v>
      </c>
      <c r="H23" s="74">
        <f>ALECA_Input!C49*ALECA_Input!F49</f>
        <v>0</v>
      </c>
      <c r="I23" s="82">
        <f t="shared" si="0"/>
        <v>0</v>
      </c>
      <c r="J23" s="82">
        <f t="shared" si="1"/>
        <v>0</v>
      </c>
      <c r="K23" s="82">
        <f t="shared" si="2"/>
        <v>0</v>
      </c>
      <c r="L23" s="82">
        <f t="shared" si="3"/>
        <v>0</v>
      </c>
      <c r="M23" s="161">
        <f t="shared" si="4"/>
        <v>0</v>
      </c>
      <c r="N23" s="82">
        <f t="shared" si="5"/>
        <v>0</v>
      </c>
      <c r="O23" s="82">
        <f t="shared" si="6"/>
        <v>0</v>
      </c>
      <c r="P23" s="262">
        <f t="shared" si="7"/>
        <v>0</v>
      </c>
      <c r="Q23" s="76">
        <f>VLOOKUP($D23,Engines_all!$A$3:'Engines_all'!$V$843,11,FALSE)</f>
        <v>285.48</v>
      </c>
      <c r="R23" s="78">
        <f>VLOOKUP($D23,Engines_all!$A$3:'Engines_all'!$V$843,12,FALSE)</f>
        <v>4.2563280000000008</v>
      </c>
      <c r="S23" s="78">
        <f>VLOOKUP($D23,Engines_all!$A$3:'Engines_all'!$V$843,13,FALSE)</f>
        <v>0.34822799999999998</v>
      </c>
      <c r="T23" s="78">
        <f>VLOOKUP($D23,Engines_all!$A$3:'Engines_all'!$V$843,14,FALSE)</f>
        <v>2.3639880000000004</v>
      </c>
      <c r="U23" s="78">
        <f>VLOOKUP($D23,Engines_all!$A$3:'Engines_all'!$V$843,15,FALSE)</f>
        <v>3.4967164301636135E-2</v>
      </c>
      <c r="V23" s="222">
        <f>VLOOKUP($D23,Engines_all!$A$3:'Engines_all'!$V$843,16,FALSE)</f>
        <v>2.142173713620352E+16</v>
      </c>
      <c r="W23" s="77">
        <f t="shared" si="8"/>
        <v>0.14274000000000001</v>
      </c>
      <c r="X23" s="78">
        <f>IF(E23="K",Q23*'Rest Calc'!B$16,Q23*'Rest Calc'!B$17)</f>
        <v>902.11680000000013</v>
      </c>
      <c r="Y23" s="76">
        <f>VLOOKUP($D23,Engines_all!$A$3:'Engines_all'!$V$843,17,FALSE)</f>
        <v>7199.9999999999991</v>
      </c>
      <c r="Z23" s="76">
        <f>VLOOKUP($D23,Engines_all!$A$3:'Engines_all'!$V$843,18,FALSE)</f>
        <v>29.519999999999996</v>
      </c>
      <c r="AA23" s="76">
        <f>VLOOKUP($D23,Engines_all!$A$3:'Engines_all'!$V$843,19,FALSE)</f>
        <v>20.88</v>
      </c>
      <c r="AB23" s="76">
        <f>VLOOKUP($D23,Engines_all!$A$3:'Engines_all'!$V$843,20,FALSE)</f>
        <v>262.79999999999995</v>
      </c>
      <c r="AC23" s="76">
        <f>VLOOKUP($D23,Engines_all!$A$3:'Engines_all'!$V$843,21,FALSE)</f>
        <v>0.64253810002939438</v>
      </c>
      <c r="AD23" s="222">
        <f>VLOOKUP($D23,Engines_all!$A$3:'Engines_all'!$V$843,22,FALSE)</f>
        <v>8133570556780793</v>
      </c>
      <c r="AE23" s="80">
        <f t="shared" si="9"/>
        <v>3.5999999999999996</v>
      </c>
      <c r="AF23" s="79">
        <f>IF(E23="K",Y23*'Rest Calc'!B$16,Y23*'Rest Calc'!B$17)</f>
        <v>22751.999999999996</v>
      </c>
      <c r="AG23" s="79">
        <f>IF(ALECA_Input!D$121="Standard",VLOOKUP($B23,$A$211:$J$218,6,FALSE),VLOOKUP($B23,$A$211:$J$218,10,FALSE))</f>
        <v>0</v>
      </c>
      <c r="AH23" s="163">
        <f>G23/2+80</f>
        <v>146.75</v>
      </c>
      <c r="AI23" s="75">
        <v>3</v>
      </c>
      <c r="AJ23" s="74"/>
      <c r="AK23" s="74"/>
      <c r="AL23" s="74"/>
    </row>
    <row r="24" spans="1:38" x14ac:dyDescent="0.25">
      <c r="A24" s="417" t="s">
        <v>447</v>
      </c>
      <c r="B24" s="75" t="s">
        <v>394</v>
      </c>
      <c r="C24" s="74" t="s">
        <v>1212</v>
      </c>
      <c r="D24" s="74" t="s">
        <v>1211</v>
      </c>
      <c r="E24" s="75" t="s">
        <v>2936</v>
      </c>
      <c r="F24" s="136">
        <v>2</v>
      </c>
      <c r="G24" s="243">
        <f>VLOOKUP(D24,Engines_all!$A$3:$AZ$843,52,FALSE)</f>
        <v>133.4</v>
      </c>
      <c r="H24" s="74">
        <f>ALECA_Input!C49*ALECA_Input!I49</f>
        <v>0</v>
      </c>
      <c r="I24" s="82">
        <f t="shared" si="0"/>
        <v>0</v>
      </c>
      <c r="J24" s="82">
        <f t="shared" si="1"/>
        <v>0</v>
      </c>
      <c r="K24" s="82">
        <f t="shared" si="2"/>
        <v>0</v>
      </c>
      <c r="L24" s="82">
        <f t="shared" si="3"/>
        <v>0</v>
      </c>
      <c r="M24" s="161">
        <f t="shared" si="4"/>
        <v>0</v>
      </c>
      <c r="N24" s="82">
        <f t="shared" si="5"/>
        <v>0</v>
      </c>
      <c r="O24" s="82">
        <f t="shared" si="6"/>
        <v>0</v>
      </c>
      <c r="P24" s="262">
        <f t="shared" si="7"/>
        <v>0</v>
      </c>
      <c r="Q24" s="76">
        <f>VLOOKUP($D24,Engines_all!$A$3:'Engines_all'!$V$843,11,FALSE)</f>
        <v>278.952</v>
      </c>
      <c r="R24" s="78">
        <f>VLOOKUP($D24,Engines_all!$A$3:'Engines_all'!$V$843,12,FALSE)</f>
        <v>4.9961058000000005</v>
      </c>
      <c r="S24" s="78">
        <f>VLOOKUP($D24,Engines_all!$A$3:'Engines_all'!$V$843,13,FALSE)</f>
        <v>8.6309999999999998E-3</v>
      </c>
      <c r="T24" s="78">
        <f>VLOOKUP($D24,Engines_all!$A$3:'Engines_all'!$V$843,14,FALSE)</f>
        <v>0.25979688000000001</v>
      </c>
      <c r="U24" s="78">
        <f>VLOOKUP($D24,Engines_all!$A$3:'Engines_all'!$V$843,15,FALSE)</f>
        <v>3.2385955191010604E-2</v>
      </c>
      <c r="V24" s="222">
        <f>VLOOKUP($D24,Engines_all!$A$3:'Engines_all'!$V$843,16,FALSE)</f>
        <v>1.7871884133914995E+17</v>
      </c>
      <c r="W24" s="77">
        <f t="shared" si="8"/>
        <v>0.13947599999999999</v>
      </c>
      <c r="X24" s="78">
        <f>IF(E24="K",Q24*'Rest Calc'!B$16,Q24*'Rest Calc'!B$17)</f>
        <v>881.48832000000004</v>
      </c>
      <c r="Y24" s="76">
        <f>VLOOKUP($D24,Engines_all!$A$3:'Engines_all'!$V$843,17,FALSE)</f>
        <v>6540</v>
      </c>
      <c r="Z24" s="76">
        <f>VLOOKUP($D24,Engines_all!$A$3:'Engines_all'!$V$843,18,FALSE)</f>
        <v>29.103000000000002</v>
      </c>
      <c r="AA24" s="76">
        <f>VLOOKUP($D24,Engines_all!$A$3:'Engines_all'!$V$843,19,FALSE)</f>
        <v>8.9598000000000013</v>
      </c>
      <c r="AB24" s="76">
        <f>VLOOKUP($D24,Engines_all!$A$3:'Engines_all'!$V$843,20,FALSE)</f>
        <v>182.5968</v>
      </c>
      <c r="AC24" s="76">
        <f>VLOOKUP($D24,Engines_all!$A$3:'Engines_all'!$V$843,21,FALSE)</f>
        <v>0.5161805859500358</v>
      </c>
      <c r="AD24" s="222">
        <f>VLOOKUP($D24,Engines_all!$A$3:'Engines_all'!$V$843,22,FALSE)</f>
        <v>7099379739073170</v>
      </c>
      <c r="AE24" s="80">
        <f t="shared" si="9"/>
        <v>3.27</v>
      </c>
      <c r="AF24" s="79">
        <f>IF(E24="K",Y24*'Rest Calc'!B$16,Y24*'Rest Calc'!B$17)</f>
        <v>20666.400000000001</v>
      </c>
      <c r="AG24" s="79">
        <f>IF(ALECA_Input!D$121="Standard",VLOOKUP($B24,$A$211:$J$218,6,FALSE),VLOOKUP($B24,$A$211:$J$218,10,FALSE))</f>
        <v>0</v>
      </c>
      <c r="AH24" s="163">
        <f>G24/2+80</f>
        <v>146.69999999999999</v>
      </c>
      <c r="AI24" s="75">
        <v>3</v>
      </c>
      <c r="AJ24" s="74"/>
      <c r="AK24" s="74"/>
      <c r="AL24" s="74"/>
    </row>
    <row r="25" spans="1:38" x14ac:dyDescent="0.25">
      <c r="A25" s="417" t="s">
        <v>447</v>
      </c>
      <c r="B25" s="75" t="s">
        <v>394</v>
      </c>
      <c r="C25" s="74" t="s">
        <v>1666</v>
      </c>
      <c r="D25" s="74" t="s">
        <v>1665</v>
      </c>
      <c r="E25" s="75" t="s">
        <v>2936</v>
      </c>
      <c r="F25" s="136">
        <v>2</v>
      </c>
      <c r="G25" s="243">
        <f>VLOOKUP(D25,Engines_all!$A$3:$AZ$843,52,FALSE)</f>
        <v>140.56</v>
      </c>
      <c r="H25" s="74">
        <f>ALECA_Input!C49*ALECA_Input!L49</f>
        <v>0</v>
      </c>
      <c r="I25" s="82">
        <f t="shared" ref="I25" si="58">$H25/2*$F25*(R25+(Z25*$AG25/1000))</f>
        <v>0</v>
      </c>
      <c r="J25" s="82">
        <f t="shared" ref="J25" si="59">$H25/2*$F25*(S25+(AA25*$AG25/1000))</f>
        <v>0</v>
      </c>
      <c r="K25" s="82">
        <f t="shared" ref="K25" si="60">$H25/2*$F25*(T25+(AB25*$AG25/1000))</f>
        <v>0</v>
      </c>
      <c r="L25" s="82">
        <f t="shared" ref="L25" si="61">$H25/2*$F25*(U25+(AC25*$AG25/1000))</f>
        <v>0</v>
      </c>
      <c r="M25" s="161">
        <f t="shared" ref="M25" si="62">H25/2*$F25*(V25+AD25*AG25)</f>
        <v>0</v>
      </c>
      <c r="N25" s="82">
        <f t="shared" ref="N25" si="63">$H25/2*$F25*(W25+(AE25*$AG25/1000))</f>
        <v>0</v>
      </c>
      <c r="O25" s="82">
        <f t="shared" ref="O25" si="64">$H25/2*$F25*(X25+(AF25*$AG25/1000))</f>
        <v>0</v>
      </c>
      <c r="P25" s="262">
        <f t="shared" ref="P25" si="65">F25*H25/2*AH25/1000</f>
        <v>0</v>
      </c>
      <c r="Q25" s="76">
        <f>VLOOKUP($D25,Engines_all!$A$3:'Engines_all'!$V$843,11,FALSE)</f>
        <v>304.63319999999999</v>
      </c>
      <c r="R25" s="78">
        <f>VLOOKUP($D25,Engines_all!$A$3:'Engines_all'!$V$843,12,FALSE)</f>
        <v>7.5314694120000008</v>
      </c>
      <c r="S25" s="78">
        <f>VLOOKUP($D25,Engines_all!$A$3:'Engines_all'!$V$843,13,FALSE)</f>
        <v>1.4181478799999998E-2</v>
      </c>
      <c r="T25" s="78">
        <f>VLOOKUP($D25,Engines_all!$A$3:'Engines_all'!$V$843,14,FALSE)</f>
        <v>0.12103989</v>
      </c>
      <c r="U25" s="78">
        <f>VLOOKUP($D25,Engines_all!$A$3:'Engines_all'!$V$843,15,FALSE)</f>
        <v>9.5417099585366011E-2</v>
      </c>
      <c r="V25" s="222">
        <f>VLOOKUP($D25,Engines_all!$A$3:'Engines_all'!$V$843,16,FALSE)</f>
        <v>1.1112095219545514E+18</v>
      </c>
      <c r="W25" s="77">
        <f t="shared" ref="W25" si="66">Q25*0.0005</f>
        <v>0.1523166</v>
      </c>
      <c r="X25" s="78">
        <f>IF(E25="K",Q25*'Rest Calc'!B$16,Q25*'Rest Calc'!B$17)</f>
        <v>962.64091199999996</v>
      </c>
      <c r="Y25" s="76">
        <f>VLOOKUP($D25,Engines_all!$A$3:'Engines_all'!$V$843,17,FALSE)</f>
        <v>8178.0000000000009</v>
      </c>
      <c r="Z25" s="76">
        <f>VLOOKUP($D25,Engines_all!$A$3:'Engines_all'!$V$843,18,FALSE)</f>
        <v>42.852720000000005</v>
      </c>
      <c r="AA25" s="76">
        <f>VLOOKUP($D25,Engines_all!$A$3:'Engines_all'!$V$843,19,FALSE)</f>
        <v>0.81780000000000008</v>
      </c>
      <c r="AB25" s="76">
        <f>VLOOKUP($D25,Engines_all!$A$3:'Engines_all'!$V$843,20,FALSE)</f>
        <v>76.194426000000007</v>
      </c>
      <c r="AC25" s="76">
        <f>VLOOKUP($D25,Engines_all!$A$3:'Engines_all'!$V$843,21,FALSE)</f>
        <v>1.9468869852359698</v>
      </c>
      <c r="AD25" s="222">
        <f>VLOOKUP($D25,Engines_all!$A$3:'Engines_all'!$V$843,22,FALSE)</f>
        <v>7.777750800648128E+16</v>
      </c>
      <c r="AE25" s="80">
        <f t="shared" ref="AE25" si="67">Y25*0.0005</f>
        <v>4.0890000000000004</v>
      </c>
      <c r="AF25" s="79">
        <f>IF(E25="K",Y25*'Rest Calc'!B$16,Y25*'Rest Calc'!B$17)</f>
        <v>25842.480000000003</v>
      </c>
      <c r="AG25" s="79">
        <f>IF(ALECA_Input!D$121="Standard",VLOOKUP($B25,$A$211:$J$218,6,FALSE),VLOOKUP($B25,$A$211:$J$218,10,FALSE))</f>
        <v>0</v>
      </c>
      <c r="AH25" s="163">
        <f>G25/2+80</f>
        <v>150.28</v>
      </c>
      <c r="AI25" s="75">
        <v>3</v>
      </c>
      <c r="AJ25" s="74"/>
      <c r="AK25" s="74"/>
      <c r="AL25" s="74"/>
    </row>
    <row r="26" spans="1:38" x14ac:dyDescent="0.25">
      <c r="A26" s="74" t="s">
        <v>448</v>
      </c>
      <c r="B26" s="75" t="s">
        <v>394</v>
      </c>
      <c r="C26" s="74" t="s">
        <v>2580</v>
      </c>
      <c r="D26" s="74" t="s">
        <v>3673</v>
      </c>
      <c r="E26" s="75" t="s">
        <v>2936</v>
      </c>
      <c r="F26" s="136">
        <v>2</v>
      </c>
      <c r="G26" s="243">
        <f>VLOOKUP(D26,Engines_all!$A$3:$AZ$843,52,FALSE)</f>
        <v>143.1</v>
      </c>
      <c r="H26" s="74">
        <f>ALECA_Input!C50*ALECA_Input!F50</f>
        <v>0</v>
      </c>
      <c r="I26" s="82">
        <f t="shared" si="0"/>
        <v>0</v>
      </c>
      <c r="J26" s="82">
        <f t="shared" si="1"/>
        <v>0</v>
      </c>
      <c r="K26" s="82">
        <f t="shared" si="2"/>
        <v>0</v>
      </c>
      <c r="L26" s="82">
        <f t="shared" si="3"/>
        <v>0</v>
      </c>
      <c r="M26" s="161">
        <f t="shared" si="4"/>
        <v>0</v>
      </c>
      <c r="N26" s="82">
        <f t="shared" si="5"/>
        <v>0</v>
      </c>
      <c r="O26" s="82">
        <f t="shared" si="6"/>
        <v>0</v>
      </c>
      <c r="P26" s="262">
        <f t="shared" si="7"/>
        <v>0</v>
      </c>
      <c r="Q26" s="76">
        <f>VLOOKUP($D26,Engines_all!$A$3:'Engines_all'!$V$843,11,FALSE)</f>
        <v>227.47200000000001</v>
      </c>
      <c r="R26" s="78">
        <f>VLOOKUP($D26,Engines_all!$A$3:'Engines_all'!$V$843,12,FALSE)</f>
        <v>7.053638760000001</v>
      </c>
      <c r="S26" s="78">
        <f>VLOOKUP($D26,Engines_all!$A$3:'Engines_all'!$V$843,13,FALSE)</f>
        <v>7.2507599999999993E-3</v>
      </c>
      <c r="T26" s="78">
        <f>VLOOKUP($D26,Engines_all!$A$3:'Engines_all'!$V$843,14,FALSE)</f>
        <v>0.16291751999999998</v>
      </c>
      <c r="U26" s="78">
        <f>VLOOKUP($D26,Engines_all!$A$3:'Engines_all'!$V$843,15,FALSE)</f>
        <v>1.2967672487802066E-2</v>
      </c>
      <c r="V26" s="222">
        <f>VLOOKUP($D26,Engines_all!$A$3:'Engines_all'!$V$843,16,FALSE)</f>
        <v>3.9214590420014312E+16</v>
      </c>
      <c r="W26" s="77">
        <f t="shared" si="8"/>
        <v>0.113736</v>
      </c>
      <c r="X26" s="78">
        <f>IF(E26="K",Q26*'Rest Calc'!B$16,Q26*'Rest Calc'!B$17)</f>
        <v>718.81152000000009</v>
      </c>
      <c r="Y26" s="76">
        <f>VLOOKUP($D26,Engines_all!$A$3:'Engines_all'!$V$843,17,FALSE)</f>
        <v>5880</v>
      </c>
      <c r="Z26" s="76">
        <f>VLOOKUP($D26,Engines_all!$A$3:'Engines_all'!$V$843,18,FALSE)</f>
        <v>28.517999999999997</v>
      </c>
      <c r="AA26" s="76">
        <f>VLOOKUP($D26,Engines_all!$A$3:'Engines_all'!$V$843,19,FALSE)</f>
        <v>1.2347999999999999</v>
      </c>
      <c r="AB26" s="76">
        <f>VLOOKUP($D26,Engines_all!$A$3:'Engines_all'!$V$843,20,FALSE)</f>
        <v>109.83839999999999</v>
      </c>
      <c r="AC26" s="76">
        <f>VLOOKUP($D26,Engines_all!$A$3:'Engines_all'!$V$843,21,FALSE)</f>
        <v>0.3638540698740817</v>
      </c>
      <c r="AD26" s="222">
        <f>VLOOKUP($D26,Engines_all!$A$3:'Engines_all'!$V$843,22,FALSE)</f>
        <v>3873385946789006</v>
      </c>
      <c r="AE26" s="80">
        <f t="shared" si="9"/>
        <v>2.94</v>
      </c>
      <c r="AF26" s="79">
        <f>IF(E26="K",Y26*'Rest Calc'!B$16,Y26*'Rest Calc'!B$17)</f>
        <v>18580.8</v>
      </c>
      <c r="AG26" s="79">
        <f>IF(ALECA_Input!D$121="Standard",VLOOKUP($B26,$A$211:$J$218,6,FALSE),VLOOKUP($B26,$A$211:$J$218,10,FALSE))</f>
        <v>0</v>
      </c>
      <c r="AH26" s="163">
        <f>G26/2+80</f>
        <v>151.55000000000001</v>
      </c>
      <c r="AI26" s="75">
        <v>3</v>
      </c>
      <c r="AJ26" s="74"/>
      <c r="AK26" s="74"/>
      <c r="AL26" s="74"/>
    </row>
    <row r="27" spans="1:38" s="400" customFormat="1" x14ac:dyDescent="0.25">
      <c r="A27" s="400" t="s">
        <v>448</v>
      </c>
      <c r="B27" s="401" t="s">
        <v>394</v>
      </c>
      <c r="C27" s="400" t="s">
        <v>2580</v>
      </c>
      <c r="D27" s="400" t="s">
        <v>3690</v>
      </c>
      <c r="E27" s="401" t="s">
        <v>2936</v>
      </c>
      <c r="F27" s="402">
        <v>2</v>
      </c>
      <c r="G27" s="403">
        <f>VLOOKUP(D27,Engines_all!$A$3:$AZ$843,52,FALSE)</f>
        <v>143.1</v>
      </c>
      <c r="I27" s="404">
        <f t="shared" si="0"/>
        <v>0</v>
      </c>
      <c r="J27" s="404">
        <f t="shared" si="1"/>
        <v>0</v>
      </c>
      <c r="K27" s="404">
        <f t="shared" si="2"/>
        <v>0</v>
      </c>
      <c r="L27" s="404">
        <f t="shared" si="3"/>
        <v>0</v>
      </c>
      <c r="M27" s="405">
        <f t="shared" si="4"/>
        <v>0</v>
      </c>
      <c r="N27" s="404">
        <f t="shared" si="5"/>
        <v>0</v>
      </c>
      <c r="O27" s="404">
        <f t="shared" si="6"/>
        <v>0</v>
      </c>
      <c r="P27" s="406">
        <f t="shared" si="7"/>
        <v>0</v>
      </c>
      <c r="Q27" s="407">
        <f>VLOOKUP($D27,Engines_all!$A$3:'Engines_all'!$V$843,11,FALSE)</f>
        <v>227.47200000000001</v>
      </c>
      <c r="R27" s="408">
        <f>VLOOKUP($D27,Engines_all!$A$3:'Engines_all'!$V$843,12,FALSE)</f>
        <v>7.053638760000001</v>
      </c>
      <c r="S27" s="408">
        <f>VLOOKUP($D27,Engines_all!$A$3:'Engines_all'!$V$843,13,FALSE)</f>
        <v>7.2507599999999993E-3</v>
      </c>
      <c r="T27" s="408">
        <f>VLOOKUP($D27,Engines_all!$A$3:'Engines_all'!$V$843,14,FALSE)</f>
        <v>0.16291751999999998</v>
      </c>
      <c r="U27" s="408">
        <f>VLOOKUP($D27,Engines_all!$A$3:'Engines_all'!$V$843,15,FALSE)</f>
        <v>1.2967672487802066E-2</v>
      </c>
      <c r="V27" s="409">
        <f>VLOOKUP($D27,Engines_all!$A$3:'Engines_all'!$V$843,16,FALSE)</f>
        <v>3.9214590420014312E+16</v>
      </c>
      <c r="W27" s="410">
        <f t="shared" si="8"/>
        <v>0.113736</v>
      </c>
      <c r="X27" s="408">
        <f>IF(E27="K",Q27*'Rest Calc'!B$16,Q27*'Rest Calc'!B$17)</f>
        <v>718.81152000000009</v>
      </c>
      <c r="Y27" s="407">
        <f>VLOOKUP($D27,Engines_all!$A$3:'Engines_all'!$V$843,17,FALSE)</f>
        <v>5880</v>
      </c>
      <c r="Z27" s="407">
        <f>VLOOKUP($D27,Engines_all!$A$3:'Engines_all'!$V$843,18,FALSE)</f>
        <v>28.517999999999997</v>
      </c>
      <c r="AA27" s="407">
        <f>VLOOKUP($D27,Engines_all!$A$3:'Engines_all'!$V$843,19,FALSE)</f>
        <v>1.2347999999999999</v>
      </c>
      <c r="AB27" s="407">
        <f>VLOOKUP($D27,Engines_all!$A$3:'Engines_all'!$V$843,20,FALSE)</f>
        <v>109.83839999999999</v>
      </c>
      <c r="AC27" s="407">
        <f>VLOOKUP($D27,Engines_all!$A$3:'Engines_all'!$V$843,21,FALSE)</f>
        <v>0.3638540698740817</v>
      </c>
      <c r="AD27" s="409">
        <f>VLOOKUP($D27,Engines_all!$A$3:'Engines_all'!$V$843,22,FALSE)</f>
        <v>3873385946789006</v>
      </c>
      <c r="AE27" s="411">
        <f t="shared" si="9"/>
        <v>2.94</v>
      </c>
      <c r="AF27" s="412">
        <f>IF(E27="K",Y27*'Rest Calc'!B$16,Y27*'Rest Calc'!B$17)</f>
        <v>18580.8</v>
      </c>
      <c r="AG27" s="79">
        <f>IF(ALECA_Input!D$121="Standard",VLOOKUP($B27,$A$211:$J$218,6,FALSE),VLOOKUP($B27,$A$211:$J$218,10,FALSE))</f>
        <v>0</v>
      </c>
      <c r="AH27" s="413">
        <v>90</v>
      </c>
      <c r="AI27" s="401">
        <v>8</v>
      </c>
    </row>
    <row r="28" spans="1:38" x14ac:dyDescent="0.25">
      <c r="A28" s="417" t="s">
        <v>3466</v>
      </c>
      <c r="B28" s="75" t="s">
        <v>393</v>
      </c>
      <c r="C28" s="74" t="s">
        <v>3476</v>
      </c>
      <c r="D28" s="74" t="s">
        <v>2195</v>
      </c>
      <c r="E28" s="75" t="s">
        <v>2936</v>
      </c>
      <c r="F28" s="136">
        <v>2</v>
      </c>
      <c r="G28" s="243">
        <f>VLOOKUP(D28,Engines_all!$A$3:$AZ$843,52,FALSE)</f>
        <v>320.3</v>
      </c>
      <c r="H28" s="74">
        <f>ALECA_Input!C33*ALECA_Input!F33</f>
        <v>0</v>
      </c>
      <c r="I28" s="82">
        <f t="shared" ref="I28" si="68">$H28/2*$F28*(R28+(Z28*$AG28/1000))</f>
        <v>0</v>
      </c>
      <c r="J28" s="82">
        <f t="shared" ref="J28" si="69">$H28/2*$F28*(S28+(AA28*$AG28/1000))</f>
        <v>0</v>
      </c>
      <c r="K28" s="82">
        <f t="shared" ref="K28" si="70">$H28/2*$F28*(T28+(AB28*$AG28/1000))</f>
        <v>0</v>
      </c>
      <c r="L28" s="82">
        <f t="shared" ref="L28" si="71">$H28/2*$F28*(U28+(AC28*$AG28/1000))</f>
        <v>0</v>
      </c>
      <c r="M28" s="161">
        <f t="shared" ref="M28" si="72">H28/2*$F28*(V28+AD28*AG28)</f>
        <v>0</v>
      </c>
      <c r="N28" s="82">
        <f t="shared" ref="N28" si="73">$H28/2*$F28*(W28+(AE28*$AG28/1000))</f>
        <v>0</v>
      </c>
      <c r="O28" s="82">
        <f t="shared" ref="O28" si="74">$H28/2*$F28*(X28+(AF28*$AG28/1000))</f>
        <v>0</v>
      </c>
      <c r="P28" s="262">
        <f t="shared" ref="P28" si="75">F28*H28/2*AH28/1000</f>
        <v>0</v>
      </c>
      <c r="Q28" s="76">
        <f>VLOOKUP($D28,Engines_all!$A$3:'Engines_all'!$V$843,11,FALSE)</f>
        <v>662.83799999999997</v>
      </c>
      <c r="R28" s="78">
        <f>VLOOKUP($D28,Engines_all!$A$3:'Engines_all'!$V$843,12,FALSE)</f>
        <v>15.698123279999999</v>
      </c>
      <c r="S28" s="78">
        <f>VLOOKUP($D28,Engines_all!$A$3:'Engines_all'!$V$843,13,FALSE)</f>
        <v>1.2539580000000002E-2</v>
      </c>
      <c r="T28" s="78">
        <f>VLOOKUP($D28,Engines_all!$A$3:'Engines_all'!$V$843,14,FALSE)</f>
        <v>0.49870878000000007</v>
      </c>
      <c r="U28" s="78">
        <f>VLOOKUP($D28,Engines_all!$A$3:'Engines_all'!$V$843,15,FALSE)</f>
        <v>5.9630938482745803E-2</v>
      </c>
      <c r="V28" s="222">
        <f>VLOOKUP($D28,Engines_all!$A$3:'Engines_all'!$V$843,16,FALSE)</f>
        <v>4.044376772766007E+17</v>
      </c>
      <c r="W28" s="77">
        <f t="shared" ref="W28" si="76">Q28*0.0005</f>
        <v>0.33141899999999996</v>
      </c>
      <c r="X28" s="78">
        <f>IF(E28="K",Q28*'Rest Calc'!B$16,Q28*'Rest Calc'!B$17)</f>
        <v>2094.56808</v>
      </c>
      <c r="Y28" s="76">
        <f>VLOOKUP($D28,Engines_all!$A$3:'Engines_all'!$V$843,17,FALSE)</f>
        <v>16200.000000000004</v>
      </c>
      <c r="Z28" s="76">
        <f>VLOOKUP($D28,Engines_all!$A$3:'Engines_all'!$V$843,18,FALSE)</f>
        <v>75.492000000000019</v>
      </c>
      <c r="AA28" s="76">
        <f>VLOOKUP($D28,Engines_all!$A$3:'Engines_all'!$V$843,19,FALSE)</f>
        <v>39.852000000000004</v>
      </c>
      <c r="AB28" s="76">
        <f>VLOOKUP($D28,Engines_all!$A$3:'Engines_all'!$V$843,20,FALSE)</f>
        <v>388.31400000000002</v>
      </c>
      <c r="AC28" s="76">
        <f>VLOOKUP($D28,Engines_all!$A$3:'Engines_all'!$V$843,21,FALSE)</f>
        <v>1.4192461923503512</v>
      </c>
      <c r="AD28" s="222">
        <f>VLOOKUP($D28,Engines_all!$A$3:'Engines_all'!$V$843,22,FALSE)</f>
        <v>1.9184308133144856E+16</v>
      </c>
      <c r="AE28" s="80">
        <f t="shared" ref="AE28" si="77">Y28*0.0005</f>
        <v>8.1000000000000014</v>
      </c>
      <c r="AF28" s="79">
        <f>IF(E28="K",Y28*'Rest Calc'!B$16,Y28*'Rest Calc'!B$17)</f>
        <v>51192.000000000015</v>
      </c>
      <c r="AG28" s="79">
        <f>IF(ALECA_Input!D$121="Standard",VLOOKUP($B28,$A$211:$J$218,6,FALSE),VLOOKUP($B28,$A$211:$J$218,10,FALSE))</f>
        <v>0</v>
      </c>
      <c r="AH28" s="163">
        <v>180</v>
      </c>
      <c r="AI28" s="75">
        <v>6</v>
      </c>
      <c r="AJ28" s="74"/>
      <c r="AK28" s="74"/>
      <c r="AL28" s="74"/>
    </row>
    <row r="29" spans="1:38" x14ac:dyDescent="0.25">
      <c r="A29" s="417" t="s">
        <v>3466</v>
      </c>
      <c r="B29" s="75" t="s">
        <v>393</v>
      </c>
      <c r="C29" s="74" t="s">
        <v>1969</v>
      </c>
      <c r="D29" s="74" t="s">
        <v>1990</v>
      </c>
      <c r="E29" s="75" t="s">
        <v>2936</v>
      </c>
      <c r="F29" s="136">
        <v>2</v>
      </c>
      <c r="G29" s="243">
        <f>VLOOKUP(D29,Engines_all!$A$3:$AZ$843,52,FALSE)</f>
        <v>302.48</v>
      </c>
      <c r="H29" s="74">
        <f>ALECA_Input!C33*ALECA_Input!I33</f>
        <v>0</v>
      </c>
      <c r="I29" s="82">
        <f t="shared" si="0"/>
        <v>0</v>
      </c>
      <c r="J29" s="82">
        <f t="shared" si="1"/>
        <v>0</v>
      </c>
      <c r="K29" s="82">
        <f t="shared" si="2"/>
        <v>0</v>
      </c>
      <c r="L29" s="82">
        <f t="shared" si="3"/>
        <v>0</v>
      </c>
      <c r="M29" s="161">
        <f t="shared" si="4"/>
        <v>0</v>
      </c>
      <c r="N29" s="82">
        <f t="shared" si="5"/>
        <v>0</v>
      </c>
      <c r="O29" s="82">
        <f t="shared" si="6"/>
        <v>0</v>
      </c>
      <c r="P29" s="262">
        <f t="shared" si="7"/>
        <v>0</v>
      </c>
      <c r="Q29" s="76">
        <f>VLOOKUP($D29,Engines_all!$A$3:'Engines_all'!$V$843,11,FALSE)</f>
        <v>617.79600000000005</v>
      </c>
      <c r="R29" s="78">
        <f>VLOOKUP($D29,Engines_all!$A$3:'Engines_all'!$V$843,12,FALSE)</f>
        <v>18.272772120000006</v>
      </c>
      <c r="S29" s="78">
        <f>VLOOKUP($D29,Engines_all!$A$3:'Engines_all'!$V$843,13,FALSE)</f>
        <v>4.4587920000000003E-2</v>
      </c>
      <c r="T29" s="78">
        <f>VLOOKUP($D29,Engines_all!$A$3:'Engines_all'!$V$843,14,FALSE)</f>
        <v>0.64822199999999996</v>
      </c>
      <c r="U29" s="78">
        <f>VLOOKUP($D29,Engines_all!$A$3:'Engines_all'!$V$843,15,FALSE)</f>
        <v>4.2464369509491368E-2</v>
      </c>
      <c r="V29" s="222">
        <f>VLOOKUP($D29,Engines_all!$A$3:'Engines_all'!$V$843,16,FALSE)</f>
        <v>1.0135609403236486E+17</v>
      </c>
      <c r="W29" s="77">
        <f t="shared" si="8"/>
        <v>0.30889800000000001</v>
      </c>
      <c r="X29" s="78">
        <f>IF(E29="K",Q29*'Rest Calc'!B$16,Q29*'Rest Calc'!B$17)</f>
        <v>1952.2353600000004</v>
      </c>
      <c r="Y29" s="76">
        <f>VLOOKUP($D29,Engines_all!$A$3:'Engines_all'!$V$843,17,FALSE)</f>
        <v>13260</v>
      </c>
      <c r="Z29" s="76">
        <f>VLOOKUP($D29,Engines_all!$A$3:'Engines_all'!$V$843,18,FALSE)</f>
        <v>55.029000000000003</v>
      </c>
      <c r="AA29" s="76">
        <f>VLOOKUP($D29,Engines_all!$A$3:'Engines_all'!$V$843,19,FALSE)</f>
        <v>43.625399999999999</v>
      </c>
      <c r="AB29" s="76">
        <f>VLOOKUP($D29,Engines_all!$A$3:'Engines_all'!$V$843,20,FALSE)</f>
        <v>311.74260000000004</v>
      </c>
      <c r="AC29" s="76">
        <f>VLOOKUP($D29,Engines_all!$A$3:'Engines_all'!$V$843,21,FALSE)</f>
        <v>0.96092563715688228</v>
      </c>
      <c r="AD29" s="222">
        <f>VLOOKUP($D29,Engines_all!$A$3:'Engines_all'!$V$843,22,FALSE)</f>
        <v>2146830869784813</v>
      </c>
      <c r="AE29" s="80">
        <f t="shared" si="9"/>
        <v>6.63</v>
      </c>
      <c r="AF29" s="79">
        <f>IF(E29="K",Y29*'Rest Calc'!B$16,Y29*'Rest Calc'!B$17)</f>
        <v>41901.599999999999</v>
      </c>
      <c r="AG29" s="79">
        <f>IF(ALECA_Input!D$121="Standard",VLOOKUP($B29,$A$211:$J$218,6,FALSE),VLOOKUP($B29,$A$211:$J$218,10,FALSE))</f>
        <v>0</v>
      </c>
      <c r="AH29" s="163">
        <v>180</v>
      </c>
      <c r="AI29" s="75">
        <v>6</v>
      </c>
      <c r="AJ29" s="74"/>
      <c r="AK29" s="74"/>
      <c r="AL29" s="74"/>
    </row>
    <row r="30" spans="1:38" x14ac:dyDescent="0.25">
      <c r="A30" s="417" t="s">
        <v>3467</v>
      </c>
      <c r="B30" s="75" t="s">
        <v>393</v>
      </c>
      <c r="C30" s="74" t="s">
        <v>3476</v>
      </c>
      <c r="D30" s="74" t="s">
        <v>2195</v>
      </c>
      <c r="E30" s="75" t="s">
        <v>2936</v>
      </c>
      <c r="F30" s="136">
        <v>2</v>
      </c>
      <c r="G30" s="243">
        <f>VLOOKUP(D30,Engines_all!$A$3:$AZ$843,52,FALSE)</f>
        <v>320.3</v>
      </c>
      <c r="H30" s="74">
        <f>ALECA_Input!C34*ALECA_Input!F34</f>
        <v>0</v>
      </c>
      <c r="I30" s="82">
        <f t="shared" ref="I30" si="78">$H30/2*$F30*(R30+(Z30*$AG30/1000))</f>
        <v>0</v>
      </c>
      <c r="J30" s="82">
        <f t="shared" ref="J30" si="79">$H30/2*$F30*(S30+(AA30*$AG30/1000))</f>
        <v>0</v>
      </c>
      <c r="K30" s="82">
        <f t="shared" ref="K30" si="80">$H30/2*$F30*(T30+(AB30*$AG30/1000))</f>
        <v>0</v>
      </c>
      <c r="L30" s="82">
        <f t="shared" ref="L30" si="81">$H30/2*$F30*(U30+(AC30*$AG30/1000))</f>
        <v>0</v>
      </c>
      <c r="M30" s="161">
        <f t="shared" ref="M30" si="82">H30/2*$F30*(V30+AD30*AG30)</f>
        <v>0</v>
      </c>
      <c r="N30" s="82">
        <f t="shared" ref="N30" si="83">$H30/2*$F30*(W30+(AE30*$AG30/1000))</f>
        <v>0</v>
      </c>
      <c r="O30" s="82">
        <f t="shared" ref="O30" si="84">$H30/2*$F30*(X30+(AF30*$AG30/1000))</f>
        <v>0</v>
      </c>
      <c r="P30" s="262">
        <f t="shared" ref="P30" si="85">F30*H30/2*AH30/1000</f>
        <v>0</v>
      </c>
      <c r="Q30" s="76">
        <f>VLOOKUP($D30,Engines_all!$A$3:'Engines_all'!$V$843,11,FALSE)</f>
        <v>662.83799999999997</v>
      </c>
      <c r="R30" s="78">
        <f>VLOOKUP($D30,Engines_all!$A$3:'Engines_all'!$V$843,12,FALSE)</f>
        <v>15.698123279999999</v>
      </c>
      <c r="S30" s="78">
        <f>VLOOKUP($D30,Engines_all!$A$3:'Engines_all'!$V$843,13,FALSE)</f>
        <v>1.2539580000000002E-2</v>
      </c>
      <c r="T30" s="78">
        <f>VLOOKUP($D30,Engines_all!$A$3:'Engines_all'!$V$843,14,FALSE)</f>
        <v>0.49870878000000007</v>
      </c>
      <c r="U30" s="78">
        <f>VLOOKUP($D30,Engines_all!$A$3:'Engines_all'!$V$843,15,FALSE)</f>
        <v>5.9630938482745803E-2</v>
      </c>
      <c r="V30" s="222">
        <f>VLOOKUP($D30,Engines_all!$A$3:'Engines_all'!$V$843,16,FALSE)</f>
        <v>4.044376772766007E+17</v>
      </c>
      <c r="W30" s="77">
        <f t="shared" ref="W30" si="86">Q30*0.0005</f>
        <v>0.33141899999999996</v>
      </c>
      <c r="X30" s="78">
        <f>IF(E30="K",Q30*'Rest Calc'!B$16,Q30*'Rest Calc'!B$17)</f>
        <v>2094.56808</v>
      </c>
      <c r="Y30" s="76">
        <f>VLOOKUP($D30,Engines_all!$A$3:'Engines_all'!$V$843,17,FALSE)</f>
        <v>16200.000000000004</v>
      </c>
      <c r="Z30" s="76">
        <f>VLOOKUP($D30,Engines_all!$A$3:'Engines_all'!$V$843,18,FALSE)</f>
        <v>75.492000000000019</v>
      </c>
      <c r="AA30" s="76">
        <f>VLOOKUP($D30,Engines_all!$A$3:'Engines_all'!$V$843,19,FALSE)</f>
        <v>39.852000000000004</v>
      </c>
      <c r="AB30" s="76">
        <f>VLOOKUP($D30,Engines_all!$A$3:'Engines_all'!$V$843,20,FALSE)</f>
        <v>388.31400000000002</v>
      </c>
      <c r="AC30" s="76">
        <f>VLOOKUP($D30,Engines_all!$A$3:'Engines_all'!$V$843,21,FALSE)</f>
        <v>1.4192461923503512</v>
      </c>
      <c r="AD30" s="222">
        <f>VLOOKUP($D30,Engines_all!$A$3:'Engines_all'!$V$843,22,FALSE)</f>
        <v>1.9184308133144856E+16</v>
      </c>
      <c r="AE30" s="80">
        <f t="shared" ref="AE30" si="87">Y30*0.0005</f>
        <v>8.1000000000000014</v>
      </c>
      <c r="AF30" s="79">
        <f>IF(E30="K",Y30*'Rest Calc'!B$16,Y30*'Rest Calc'!B$17)</f>
        <v>51192.000000000015</v>
      </c>
      <c r="AG30" s="79">
        <f>IF(ALECA_Input!D$121="Standard",VLOOKUP($B30,$A$211:$J$218,6,FALSE),VLOOKUP($B30,$A$211:$J$218,10,FALSE))</f>
        <v>0</v>
      </c>
      <c r="AH30" s="163">
        <f t="shared" ref="AH30" si="88">G30/2+80</f>
        <v>240.15</v>
      </c>
      <c r="AI30" s="75">
        <v>2</v>
      </c>
      <c r="AJ30" s="74"/>
      <c r="AK30" s="74"/>
      <c r="AL30" s="74"/>
    </row>
    <row r="31" spans="1:38" x14ac:dyDescent="0.25">
      <c r="A31" s="417" t="s">
        <v>3467</v>
      </c>
      <c r="B31" s="75" t="s">
        <v>393</v>
      </c>
      <c r="C31" s="74" t="s">
        <v>1403</v>
      </c>
      <c r="D31" s="74" t="s">
        <v>1402</v>
      </c>
      <c r="E31" s="75" t="s">
        <v>2936</v>
      </c>
      <c r="F31" s="136">
        <v>2</v>
      </c>
      <c r="G31" s="243">
        <f>VLOOKUP(D31,Engines_all!$A$3:$AZ$843,52,FALSE)</f>
        <v>304.8</v>
      </c>
      <c r="H31" s="74">
        <f>ALECA_Input!C34*ALECA_Input!I34</f>
        <v>0</v>
      </c>
      <c r="I31" s="82">
        <f t="shared" si="0"/>
        <v>0</v>
      </c>
      <c r="J31" s="82">
        <f t="shared" si="1"/>
        <v>0</v>
      </c>
      <c r="K31" s="82">
        <f t="shared" si="2"/>
        <v>0</v>
      </c>
      <c r="L31" s="82">
        <f t="shared" si="3"/>
        <v>0</v>
      </c>
      <c r="M31" s="161">
        <f t="shared" si="4"/>
        <v>0</v>
      </c>
      <c r="N31" s="82">
        <f t="shared" si="5"/>
        <v>0</v>
      </c>
      <c r="O31" s="82">
        <f t="shared" si="6"/>
        <v>0</v>
      </c>
      <c r="P31" s="262">
        <f t="shared" si="7"/>
        <v>0</v>
      </c>
      <c r="Q31" s="76">
        <f>VLOOKUP($D31,Engines_all!$A$3:'Engines_all'!$V$843,11,FALSE)</f>
        <v>621.82199999999989</v>
      </c>
      <c r="R31" s="78">
        <f>VLOOKUP($D31,Engines_all!$A$3:'Engines_all'!$V$843,12,FALSE)</f>
        <v>17.593613099999999</v>
      </c>
      <c r="S31" s="78">
        <f>VLOOKUP($D31,Engines_all!$A$3:'Engines_all'!$V$843,13,FALSE)</f>
        <v>6.3459540000000009E-2</v>
      </c>
      <c r="T31" s="78">
        <f>VLOOKUP($D31,Engines_all!$A$3:'Engines_all'!$V$843,14,FALSE)</f>
        <v>0.36323496</v>
      </c>
      <c r="U31" s="78">
        <f>VLOOKUP($D31,Engines_all!$A$3:'Engines_all'!$V$843,15,FALSE)</f>
        <v>6.2270527862675444E-2</v>
      </c>
      <c r="V31" s="222">
        <f>VLOOKUP($D31,Engines_all!$A$3:'Engines_all'!$V$843,16,FALSE)</f>
        <v>1.9343882945618374E+17</v>
      </c>
      <c r="W31" s="77">
        <f t="shared" si="8"/>
        <v>0.31091099999999994</v>
      </c>
      <c r="X31" s="78">
        <f>IF(E31="K",Q31*'Rest Calc'!B$16,Q31*'Rest Calc'!B$17)</f>
        <v>1964.9575199999997</v>
      </c>
      <c r="Y31" s="76">
        <f>VLOOKUP($D31,Engines_all!$A$3:'Engines_all'!$V$843,17,FALSE)</f>
        <v>13620.000000000002</v>
      </c>
      <c r="Z31" s="76">
        <f>VLOOKUP($D31,Engines_all!$A$3:'Engines_all'!$V$843,18,FALSE)</f>
        <v>63.877800000000008</v>
      </c>
      <c r="AA31" s="76">
        <f>VLOOKUP($D31,Engines_all!$A$3:'Engines_all'!$V$843,19,FALSE)</f>
        <v>129.79859999999999</v>
      </c>
      <c r="AB31" s="76">
        <f>VLOOKUP($D31,Engines_all!$A$3:'Engines_all'!$V$843,20,FALSE)</f>
        <v>504.21240000000006</v>
      </c>
      <c r="AC31" s="76">
        <f>VLOOKUP($D31,Engines_all!$A$3:'Engines_all'!$V$843,21,FALSE)</f>
        <v>1.5137199799699055</v>
      </c>
      <c r="AD31" s="222">
        <f>VLOOKUP($D31,Engines_all!$A$3:'Engines_all'!$V$843,22,FALSE)</f>
        <v>2322427915844317.5</v>
      </c>
      <c r="AE31" s="80">
        <f t="shared" si="9"/>
        <v>6.8100000000000014</v>
      </c>
      <c r="AF31" s="79">
        <f>IF(E31="K",Y31*'Rest Calc'!B$16,Y31*'Rest Calc'!B$17)</f>
        <v>43039.200000000004</v>
      </c>
      <c r="AG31" s="79">
        <f>IF(ALECA_Input!D$121="Standard",VLOOKUP($B31,$A$211:$J$218,6,FALSE),VLOOKUP($B31,$A$211:$J$218,10,FALSE))</f>
        <v>0</v>
      </c>
      <c r="AH31" s="163">
        <f t="shared" ref="AH31:AH41" si="89">G31/2+80</f>
        <v>232.4</v>
      </c>
      <c r="AI31" s="75">
        <v>2</v>
      </c>
      <c r="AJ31" s="74"/>
      <c r="AK31" s="74"/>
      <c r="AL31" s="74"/>
    </row>
    <row r="32" spans="1:38" x14ac:dyDescent="0.25">
      <c r="A32" s="417" t="s">
        <v>3643</v>
      </c>
      <c r="B32" s="75" t="s">
        <v>393</v>
      </c>
      <c r="C32" s="74" t="s">
        <v>3212</v>
      </c>
      <c r="D32" s="74" t="s">
        <v>3210</v>
      </c>
      <c r="E32" s="75" t="s">
        <v>2936</v>
      </c>
      <c r="F32" s="136">
        <v>2</v>
      </c>
      <c r="G32" s="243">
        <f>VLOOKUP(D32,Engines_all!$A$3:$AZ$843,52,FALSE)</f>
        <v>327.9</v>
      </c>
      <c r="H32" s="74">
        <f>ALECA_Input!C35*ALECA_Input!F35</f>
        <v>0</v>
      </c>
      <c r="I32" s="82">
        <f t="shared" ref="I32" si="90">$H32/2*$F32*(R32+(Z32*$AG32/1000))</f>
        <v>0</v>
      </c>
      <c r="J32" s="82">
        <f t="shared" ref="J32" si="91">$H32/2*$F32*(S32+(AA32*$AG32/1000))</f>
        <v>0</v>
      </c>
      <c r="K32" s="82">
        <f t="shared" ref="K32" si="92">$H32/2*$F32*(T32+(AB32*$AG32/1000))</f>
        <v>0</v>
      </c>
      <c r="L32" s="82">
        <f t="shared" ref="L32" si="93">$H32/2*$F32*(U32+(AC32*$AG32/1000))</f>
        <v>0</v>
      </c>
      <c r="M32" s="161">
        <f t="shared" ref="M32" si="94">H32/2*$F32*(V32+AD32*AG32)</f>
        <v>0</v>
      </c>
      <c r="N32" s="82">
        <f t="shared" ref="N32" si="95">$H32/2*$F32*(W32+(AE32*$AG32/1000))</f>
        <v>0</v>
      </c>
      <c r="O32" s="82">
        <f t="shared" ref="O32" si="96">$H32/2*$F32*(X32+(AF32*$AG32/1000))</f>
        <v>0</v>
      </c>
      <c r="P32" s="262">
        <f t="shared" si="7"/>
        <v>0</v>
      </c>
      <c r="Q32" s="76">
        <f>VLOOKUP($D32,Engines_all!$A$3:'Engines_all'!$V$843,11,FALSE)</f>
        <v>532.70399999999995</v>
      </c>
      <c r="R32" s="78">
        <f>VLOOKUP($D32,Engines_all!$A$3:'Engines_all'!$V$843,12,FALSE)</f>
        <v>19.44150192</v>
      </c>
      <c r="S32" s="78">
        <f>VLOOKUP($D32,Engines_all!$A$3:'Engines_all'!$V$843,13,FALSE)</f>
        <v>0</v>
      </c>
      <c r="T32" s="78">
        <f>VLOOKUP($D32,Engines_all!$A$3:'Engines_all'!$V$843,14,FALSE)</f>
        <v>0.26449775999999997</v>
      </c>
      <c r="U32" s="78">
        <f>VLOOKUP($D32,Engines_all!$A$3:'Engines_all'!$V$843,15,FALSE)</f>
        <v>6.4454689448192978E-2</v>
      </c>
      <c r="V32" s="222">
        <f>VLOOKUP($D32,Engines_all!$A$3:'Engines_all'!$V$843,16,FALSE)</f>
        <v>1.0920973760261898E+18</v>
      </c>
      <c r="W32" s="77">
        <f t="shared" ref="W32" si="97">Q32*0.0005</f>
        <v>0.26635199999999998</v>
      </c>
      <c r="X32" s="78">
        <f>IF(E32="K",Q32*'Rest Calc'!B$16,Q32*'Rest Calc'!B$17)</f>
        <v>1683.34464</v>
      </c>
      <c r="Y32" s="76">
        <f>VLOOKUP($D32,Engines_all!$A$3:'Engines_all'!$V$843,17,FALSE)</f>
        <v>14459.999999999998</v>
      </c>
      <c r="Z32" s="76">
        <f>VLOOKUP($D32,Engines_all!$A$3:'Engines_all'!$V$843,18,FALSE)</f>
        <v>88.205999999999989</v>
      </c>
      <c r="AA32" s="76">
        <f>VLOOKUP($D32,Engines_all!$A$3:'Engines_all'!$V$843,19,FALSE)</f>
        <v>0</v>
      </c>
      <c r="AB32" s="76">
        <f>VLOOKUP($D32,Engines_all!$A$3:'Engines_all'!$V$843,20,FALSE)</f>
        <v>93.266999999999996</v>
      </c>
      <c r="AC32" s="76">
        <f>VLOOKUP($D32,Engines_all!$A$3:'Engines_all'!$V$843,21,FALSE)</f>
        <v>0.95869547066501803</v>
      </c>
      <c r="AD32" s="222">
        <f>VLOOKUP($D32,Engines_all!$A$3:'Engines_all'!$V$843,22,FALSE)</f>
        <v>1.420894193201507E+16</v>
      </c>
      <c r="AE32" s="80">
        <f t="shared" ref="AE32" si="98">Y32*0.0005</f>
        <v>7.2299999999999995</v>
      </c>
      <c r="AF32" s="79">
        <f>IF(E32="K",Y32*'Rest Calc'!B$16,Y32*'Rest Calc'!B$17)</f>
        <v>45693.599999999999</v>
      </c>
      <c r="AG32" s="79">
        <f>IF(ALECA_Input!D$121="Standard",VLOOKUP($B32,$A$211:$J$218,6,FALSE),VLOOKUP($B32,$A$211:$J$218,10,FALSE))</f>
        <v>0</v>
      </c>
      <c r="AH32" s="163">
        <f t="shared" ref="AH32" si="99">G32/2+80</f>
        <v>243.95</v>
      </c>
      <c r="AI32" s="75">
        <v>2</v>
      </c>
      <c r="AJ32" s="74"/>
      <c r="AK32" s="74"/>
      <c r="AL32" s="74"/>
    </row>
    <row r="33" spans="1:38" x14ac:dyDescent="0.25">
      <c r="A33" s="417" t="s">
        <v>3507</v>
      </c>
      <c r="B33" s="75" t="s">
        <v>383</v>
      </c>
      <c r="C33" s="74" t="s">
        <v>1156</v>
      </c>
      <c r="D33" s="74" t="s">
        <v>1155</v>
      </c>
      <c r="E33" s="75" t="s">
        <v>2936</v>
      </c>
      <c r="F33" s="136">
        <v>4</v>
      </c>
      <c r="G33" s="243">
        <f>VLOOKUP(D33,Engines_all!$A$3:$AZ$843,52,FALSE)</f>
        <v>138.78</v>
      </c>
      <c r="H33" s="74">
        <f>ALECA_Input!C18*ALECA_Input!F18</f>
        <v>0</v>
      </c>
      <c r="I33" s="82">
        <f t="shared" si="0"/>
        <v>0</v>
      </c>
      <c r="J33" s="82">
        <f t="shared" si="1"/>
        <v>0</v>
      </c>
      <c r="K33" s="82">
        <f t="shared" si="2"/>
        <v>0</v>
      </c>
      <c r="L33" s="82">
        <f t="shared" si="3"/>
        <v>0</v>
      </c>
      <c r="M33" s="161">
        <f t="shared" si="4"/>
        <v>0</v>
      </c>
      <c r="N33" s="82">
        <f t="shared" si="5"/>
        <v>0</v>
      </c>
      <c r="O33" s="82">
        <f t="shared" si="6"/>
        <v>0</v>
      </c>
      <c r="P33" s="262">
        <f t="shared" si="7"/>
        <v>0</v>
      </c>
      <c r="Q33" s="76">
        <f>VLOOKUP($D33,Engines_all!$A$3:'Engines_all'!$V$843,11,FALSE)</f>
        <v>282.36</v>
      </c>
      <c r="R33" s="78">
        <f>VLOOKUP($D33,Engines_all!$A$3:'Engines_all'!$V$843,12,FALSE)</f>
        <v>6.3092592000000014</v>
      </c>
      <c r="S33" s="78">
        <f>VLOOKUP($D33,Engines_all!$A$3:'Engines_all'!$V$843,13,FALSE)</f>
        <v>8.5778880000000023E-3</v>
      </c>
      <c r="T33" s="78">
        <f>VLOOKUP($D33,Engines_all!$A$3:'Engines_all'!$V$843,14,FALSE)</f>
        <v>0.31415208</v>
      </c>
      <c r="U33" s="78">
        <f>VLOOKUP($D33,Engines_all!$A$3:'Engines_all'!$V$843,15,FALSE)</f>
        <v>2.7115200339658276E-2</v>
      </c>
      <c r="V33" s="222">
        <f>VLOOKUP($D33,Engines_all!$A$3:'Engines_all'!$V$843,16,FALSE)</f>
        <v>1.059552329222733E+17</v>
      </c>
      <c r="W33" s="77">
        <f t="shared" si="8"/>
        <v>0.14118</v>
      </c>
      <c r="X33" s="78">
        <f>IF(E33="K",Q33*'Rest Calc'!B$16,Q33*'Rest Calc'!B$17)</f>
        <v>892.25760000000014</v>
      </c>
      <c r="Y33" s="76">
        <f>VLOOKUP($D33,Engines_all!$A$3:'Engines_all'!$V$843,17,FALSE)</f>
        <v>7050.0000000000009</v>
      </c>
      <c r="Z33" s="76">
        <f>VLOOKUP($D33,Engines_all!$A$3:'Engines_all'!$V$843,18,FALSE)</f>
        <v>29.539500000000007</v>
      </c>
      <c r="AA33" s="76">
        <f>VLOOKUP($D33,Engines_all!$A$3:'Engines_all'!$V$843,19,FALSE)</f>
        <v>40.044000000000004</v>
      </c>
      <c r="AB33" s="76">
        <f>VLOOKUP($D33,Engines_all!$A$3:'Engines_all'!$V$843,20,FALSE)</f>
        <v>239.70000000000002</v>
      </c>
      <c r="AC33" s="76">
        <f>VLOOKUP($D33,Engines_all!$A$3:'Engines_all'!$V$843,21,FALSE)</f>
        <v>0.65882439042055319</v>
      </c>
      <c r="AD33" s="222">
        <f>VLOOKUP($D33,Engines_all!$A$3:'Engines_all'!$V$843,22,FALSE)</f>
        <v>3359707356076220.5</v>
      </c>
      <c r="AE33" s="80">
        <f t="shared" si="9"/>
        <v>3.5250000000000004</v>
      </c>
      <c r="AF33" s="79">
        <f>IF(E33="K",Y33*'Rest Calc'!B$16,Y33*'Rest Calc'!B$17)</f>
        <v>22278.000000000004</v>
      </c>
      <c r="AG33" s="79">
        <f>IF(ALECA_Input!D$121="Standard",VLOOKUP($B33,$A$211:$J$218,6,FALSE),VLOOKUP($B33,$A$211:$J$218,10,FALSE))</f>
        <v>0</v>
      </c>
      <c r="AH33" s="163">
        <f t="shared" si="89"/>
        <v>149.38999999999999</v>
      </c>
      <c r="AI33" s="75">
        <v>1</v>
      </c>
      <c r="AJ33" s="74"/>
      <c r="AK33" s="74"/>
      <c r="AL33" s="74"/>
    </row>
    <row r="34" spans="1:38" x14ac:dyDescent="0.25">
      <c r="A34" s="417" t="s">
        <v>3507</v>
      </c>
      <c r="B34" s="75" t="s">
        <v>383</v>
      </c>
      <c r="C34" s="74" t="s">
        <v>1120</v>
      </c>
      <c r="D34" s="74" t="s">
        <v>658</v>
      </c>
      <c r="E34" s="75" t="s">
        <v>2936</v>
      </c>
      <c r="F34" s="136">
        <v>4</v>
      </c>
      <c r="G34" s="243">
        <f>VLOOKUP(D34,Engines_all!$A$3:$AZ$843,52,FALSE)</f>
        <v>149.9</v>
      </c>
      <c r="H34" s="74">
        <f>ALECA_Input!C18*ALECA_Input!I18</f>
        <v>0</v>
      </c>
      <c r="I34" s="82">
        <f t="shared" ref="I34" si="100">$H34/2*$F34*(R34+(Z34*$AG34/1000))</f>
        <v>0</v>
      </c>
      <c r="J34" s="82">
        <f t="shared" ref="J34" si="101">$H34/2*$F34*(S34+(AA34*$AG34/1000))</f>
        <v>0</v>
      </c>
      <c r="K34" s="82">
        <f t="shared" ref="K34" si="102">$H34/2*$F34*(T34+(AB34*$AG34/1000))</f>
        <v>0</v>
      </c>
      <c r="L34" s="82">
        <f t="shared" ref="L34" si="103">$H34/2*$F34*(U34+(AC34*$AG34/1000))</f>
        <v>0</v>
      </c>
      <c r="M34" s="161">
        <f t="shared" ref="M34" si="104">H34/2*$F34*(V34+AD34*AG34)</f>
        <v>0</v>
      </c>
      <c r="N34" s="82">
        <f t="shared" ref="N34" si="105">$H34/2*$F34*(W34+(AE34*$AG34/1000))</f>
        <v>0</v>
      </c>
      <c r="O34" s="82">
        <f t="shared" ref="O34" si="106">$H34/2*$F34*(X34+(AF34*$AG34/1000))</f>
        <v>0</v>
      </c>
      <c r="P34" s="262">
        <f t="shared" ref="P34" si="107">F34*H34/2*AH34/1000</f>
        <v>0</v>
      </c>
      <c r="Q34" s="76">
        <f>VLOOKUP($D34,Engines_all!$A$3:'Engines_all'!$V$843,11,FALSE)</f>
        <v>298.26600000000002</v>
      </c>
      <c r="R34" s="78">
        <f>VLOOKUP($D34,Engines_all!$A$3:'Engines_all'!$V$843,12,FALSE)</f>
        <v>6.9054281999999994</v>
      </c>
      <c r="S34" s="78">
        <f>VLOOKUP($D34,Engines_all!$A$3:'Engines_all'!$V$843,13,FALSE)</f>
        <v>0</v>
      </c>
      <c r="T34" s="78">
        <f>VLOOKUP($D34,Engines_all!$A$3:'Engines_all'!$V$843,14,FALSE)</f>
        <v>0.29456520000000003</v>
      </c>
      <c r="U34" s="78">
        <f>VLOOKUP($D34,Engines_all!$A$3:'Engines_all'!$V$843,15,FALSE)</f>
        <v>3.3549823676753826E-2</v>
      </c>
      <c r="V34" s="222">
        <f>VLOOKUP($D34,Engines_all!$A$3:'Engines_all'!$V$843,16,FALSE)</f>
        <v>2.9595653886599456E+17</v>
      </c>
      <c r="W34" s="77">
        <f t="shared" ref="W34" si="108">Q34*0.0005</f>
        <v>0.14913300000000002</v>
      </c>
      <c r="X34" s="78">
        <f>IF(E34="K",Q34*'Rest Calc'!B$16,Q34*'Rest Calc'!B$17)</f>
        <v>942.52056000000016</v>
      </c>
      <c r="Y34" s="76">
        <f>VLOOKUP($D34,Engines_all!$A$3:'Engines_all'!$V$843,17,FALSE)</f>
        <v>6900</v>
      </c>
      <c r="Z34" s="76">
        <f>VLOOKUP($D34,Engines_all!$A$3:'Engines_all'!$V$843,18,FALSE)</f>
        <v>28.29</v>
      </c>
      <c r="AA34" s="76">
        <f>VLOOKUP($D34,Engines_all!$A$3:'Engines_all'!$V$843,19,FALSE)</f>
        <v>34.5</v>
      </c>
      <c r="AB34" s="76">
        <f>VLOOKUP($D34,Engines_all!$A$3:'Engines_all'!$V$843,20,FALSE)</f>
        <v>218.04000000000002</v>
      </c>
      <c r="AC34" s="76">
        <f>VLOOKUP($D34,Engines_all!$A$3:'Engines_all'!$V$843,21,FALSE)</f>
        <v>0.94628908234662978</v>
      </c>
      <c r="AD34" s="222">
        <f>VLOOKUP($D34,Engines_all!$A$3:'Engines_all'!$V$843,22,FALSE)</f>
        <v>1.9960986630899948E+16</v>
      </c>
      <c r="AE34" s="80">
        <f t="shared" ref="AE34" si="109">Y34*0.0005</f>
        <v>3.45</v>
      </c>
      <c r="AF34" s="79">
        <f>IF(E34="K",Y34*'Rest Calc'!B$16,Y34*'Rest Calc'!B$17)</f>
        <v>21804</v>
      </c>
      <c r="AG34" s="79">
        <f>IF(ALECA_Input!D$121="Standard",VLOOKUP($B34,$A$211:$J$218,6,FALSE),VLOOKUP($B34,$A$211:$J$218,10,FALSE))</f>
        <v>0</v>
      </c>
      <c r="AH34" s="163">
        <f t="shared" ref="AH34" si="110">G34/2+80</f>
        <v>154.94999999999999</v>
      </c>
      <c r="AI34" s="75">
        <v>1</v>
      </c>
      <c r="AJ34" s="74"/>
      <c r="AK34" s="74"/>
      <c r="AL34" s="74"/>
    </row>
    <row r="35" spans="1:38" x14ac:dyDescent="0.25">
      <c r="A35" s="397" t="s">
        <v>3458</v>
      </c>
      <c r="B35" s="75" t="s">
        <v>383</v>
      </c>
      <c r="C35" s="74" t="s">
        <v>2286</v>
      </c>
      <c r="D35" s="74" t="s">
        <v>2285</v>
      </c>
      <c r="E35" s="75" t="s">
        <v>2936</v>
      </c>
      <c r="F35" s="136">
        <v>4</v>
      </c>
      <c r="G35" s="243">
        <f>VLOOKUP(D35,Engines_all!$A$3:$AZ$843,52,FALSE)</f>
        <v>263.89999999999998</v>
      </c>
      <c r="H35" s="74">
        <f>ALECA_Input!C19</f>
        <v>0</v>
      </c>
      <c r="I35" s="82">
        <f t="shared" si="0"/>
        <v>0</v>
      </c>
      <c r="J35" s="82">
        <f t="shared" si="1"/>
        <v>0</v>
      </c>
      <c r="K35" s="82">
        <f t="shared" si="2"/>
        <v>0</v>
      </c>
      <c r="L35" s="82">
        <f t="shared" si="3"/>
        <v>0</v>
      </c>
      <c r="M35" s="161">
        <f t="shared" si="4"/>
        <v>0</v>
      </c>
      <c r="N35" s="82">
        <f t="shared" si="5"/>
        <v>0</v>
      </c>
      <c r="O35" s="82">
        <f t="shared" si="6"/>
        <v>0</v>
      </c>
      <c r="P35" s="262">
        <f t="shared" si="7"/>
        <v>0</v>
      </c>
      <c r="Q35" s="76">
        <f>VLOOKUP($D35,Engines_all!$A$3:'Engines_all'!$V$843,11,FALSE)</f>
        <v>484.44000000000005</v>
      </c>
      <c r="R35" s="78">
        <f>VLOOKUP($D35,Engines_all!$A$3:'Engines_all'!$V$843,12,FALSE)</f>
        <v>13.981815600000001</v>
      </c>
      <c r="S35" s="78">
        <f>VLOOKUP($D35,Engines_all!$A$3:'Engines_all'!$V$843,13,FALSE)</f>
        <v>1.0249200000000002E-2</v>
      </c>
      <c r="T35" s="78">
        <f>VLOOKUP($D35,Engines_all!$A$3:'Engines_all'!$V$843,14,FALSE)</f>
        <v>0.18813840000000004</v>
      </c>
      <c r="U35" s="78">
        <f>VLOOKUP($D35,Engines_all!$A$3:'Engines_all'!$V$843,15,FALSE)</f>
        <v>3.8302082274076485E-2</v>
      </c>
      <c r="V35" s="222">
        <f>VLOOKUP($D35,Engines_all!$A$3:'Engines_all'!$V$843,16,FALSE)</f>
        <v>1.9830132897076256E+17</v>
      </c>
      <c r="W35" s="77">
        <f t="shared" si="8"/>
        <v>0.24222000000000002</v>
      </c>
      <c r="X35" s="78">
        <f>IF(E35="K",Q35*'Rest Calc'!B$16,Q35*'Rest Calc'!B$17)</f>
        <v>1530.8304000000003</v>
      </c>
      <c r="Y35" s="76">
        <f>VLOOKUP($D35,Engines_all!$A$3:'Engines_all'!$V$843,17,FALSE)</f>
        <v>13800</v>
      </c>
      <c r="Z35" s="76">
        <f>VLOOKUP($D35,Engines_all!$A$3:'Engines_all'!$V$843,18,FALSE)</f>
        <v>84.042000000000002</v>
      </c>
      <c r="AA35" s="76">
        <f>VLOOKUP($D35,Engines_all!$A$3:'Engines_all'!$V$843,19,FALSE)</f>
        <v>1.7940000000000003</v>
      </c>
      <c r="AB35" s="76">
        <f>VLOOKUP($D35,Engines_all!$A$3:'Engines_all'!$V$843,20,FALSE)</f>
        <v>137.44800000000001</v>
      </c>
      <c r="AC35" s="76">
        <f>VLOOKUP($D35,Engines_all!$A$3:'Engines_all'!$V$843,21,FALSE)</f>
        <v>0.79795900408475329</v>
      </c>
      <c r="AD35" s="222">
        <f>VLOOKUP($D35,Engines_all!$A$3:'Engines_all'!$V$843,22,FALSE)</f>
        <v>5612993158086293</v>
      </c>
      <c r="AE35" s="80">
        <f t="shared" si="9"/>
        <v>6.9</v>
      </c>
      <c r="AF35" s="79">
        <f>IF(E35="K",Y35*'Rest Calc'!B$16,Y35*'Rest Calc'!B$17)</f>
        <v>43608</v>
      </c>
      <c r="AG35" s="79">
        <f>IF(ALECA_Input!D$121="Standard",VLOOKUP($B35,$A$211:$J$218,6,FALSE),VLOOKUP($B35,$A$211:$J$218,10,FALSE))</f>
        <v>0</v>
      </c>
      <c r="AH35" s="163">
        <f t="shared" si="89"/>
        <v>211.95</v>
      </c>
      <c r="AI35" s="75">
        <v>2</v>
      </c>
      <c r="AJ35" s="74"/>
      <c r="AK35" s="74"/>
      <c r="AL35" s="74"/>
    </row>
    <row r="36" spans="1:38" x14ac:dyDescent="0.25">
      <c r="A36" s="417" t="s">
        <v>3508</v>
      </c>
      <c r="B36" s="75" t="s">
        <v>393</v>
      </c>
      <c r="C36" s="74" t="s">
        <v>404</v>
      </c>
      <c r="D36" s="74" t="s">
        <v>2212</v>
      </c>
      <c r="E36" s="75" t="s">
        <v>2936</v>
      </c>
      <c r="F36" s="136">
        <v>2</v>
      </c>
      <c r="G36" s="243">
        <f>VLOOKUP(D36,Engines_all!$A$3:$AZ$843,52,FALSE)</f>
        <v>379</v>
      </c>
      <c r="H36" s="74">
        <f>ALECA_Input!C20*ALECA_Input!F20</f>
        <v>0</v>
      </c>
      <c r="I36" s="82">
        <f t="shared" si="0"/>
        <v>0</v>
      </c>
      <c r="J36" s="82">
        <f t="shared" si="1"/>
        <v>0</v>
      </c>
      <c r="K36" s="82">
        <f t="shared" si="2"/>
        <v>0</v>
      </c>
      <c r="L36" s="82">
        <f t="shared" si="3"/>
        <v>0</v>
      </c>
      <c r="M36" s="161">
        <f t="shared" si="4"/>
        <v>0</v>
      </c>
      <c r="N36" s="82">
        <f t="shared" si="5"/>
        <v>0</v>
      </c>
      <c r="O36" s="82">
        <f t="shared" si="6"/>
        <v>0</v>
      </c>
      <c r="P36" s="262">
        <f t="shared" si="7"/>
        <v>0</v>
      </c>
      <c r="Q36" s="76">
        <f>VLOOKUP($D36,Engines_all!$A$3:'Engines_all'!$V$843,11,FALSE)</f>
        <v>615.03000000000009</v>
      </c>
      <c r="R36" s="78">
        <f>VLOOKUP($D36,Engines_all!$A$3:'Engines_all'!$V$843,12,FALSE)</f>
        <v>18.098467200000002</v>
      </c>
      <c r="S36" s="78">
        <f>VLOOKUP($D36,Engines_all!$A$3:'Engines_all'!$V$843,13,FALSE)</f>
        <v>0</v>
      </c>
      <c r="T36" s="78">
        <f>VLOOKUP($D36,Engines_all!$A$3:'Engines_all'!$V$843,14,FALSE)</f>
        <v>0.39557609999999999</v>
      </c>
      <c r="U36" s="78">
        <f>VLOOKUP($D36,Engines_all!$A$3:'Engines_all'!$V$843,15,FALSE)</f>
        <v>6.659834183875285E-2</v>
      </c>
      <c r="V36" s="222">
        <f>VLOOKUP($D36,Engines_all!$A$3:'Engines_all'!$V$843,16,FALSE)</f>
        <v>9.3955522874763341E+17</v>
      </c>
      <c r="W36" s="77">
        <f t="shared" si="8"/>
        <v>0.30751500000000004</v>
      </c>
      <c r="X36" s="78">
        <f>IF(E36="K",Q36*'Rest Calc'!B$16,Q36*'Rest Calc'!B$17)</f>
        <v>1943.4948000000004</v>
      </c>
      <c r="Y36" s="76">
        <f>VLOOKUP($D36,Engines_all!$A$3:'Engines_all'!$V$843,17,FALSE)</f>
        <v>17459.999999999996</v>
      </c>
      <c r="Z36" s="76">
        <f>VLOOKUP($D36,Engines_all!$A$3:'Engines_all'!$V$843,18,FALSE)</f>
        <v>82.585799999999992</v>
      </c>
      <c r="AA36" s="76">
        <f>VLOOKUP($D36,Engines_all!$A$3:'Engines_all'!$V$843,19,FALSE)</f>
        <v>16.412399999999998</v>
      </c>
      <c r="AB36" s="76">
        <f>VLOOKUP($D36,Engines_all!$A$3:'Engines_all'!$V$843,20,FALSE)</f>
        <v>360.72359999999992</v>
      </c>
      <c r="AC36" s="76">
        <f>VLOOKUP($D36,Engines_all!$A$3:'Engines_all'!$V$843,21,FALSE)</f>
        <v>1.1368526754936503</v>
      </c>
      <c r="AD36" s="222">
        <f>VLOOKUP($D36,Engines_all!$A$3:'Engines_all'!$V$843,22,FALSE)</f>
        <v>9120017862282810</v>
      </c>
      <c r="AE36" s="80">
        <f t="shared" si="9"/>
        <v>8.7299999999999986</v>
      </c>
      <c r="AF36" s="79">
        <f>IF(E36="K",Y36*'Rest Calc'!B$16,Y36*'Rest Calc'!B$17)</f>
        <v>55173.599999999991</v>
      </c>
      <c r="AG36" s="79">
        <f>IF(ALECA_Input!D$121="Standard",VLOOKUP($B36,$A$211:$J$218,6,FALSE),VLOOKUP($B36,$A$211:$J$218,10,FALSE))</f>
        <v>0</v>
      </c>
      <c r="AH36" s="163">
        <f t="shared" si="89"/>
        <v>269.5</v>
      </c>
      <c r="AI36" s="75">
        <v>2</v>
      </c>
      <c r="AJ36" s="74"/>
      <c r="AK36" s="74"/>
      <c r="AL36" s="74"/>
    </row>
    <row r="37" spans="1:38" x14ac:dyDescent="0.25">
      <c r="A37" s="417" t="s">
        <v>3508</v>
      </c>
      <c r="B37" s="75" t="s">
        <v>393</v>
      </c>
      <c r="C37" s="74" t="s">
        <v>2228</v>
      </c>
      <c r="D37" s="74" t="s">
        <v>2227</v>
      </c>
      <c r="E37" s="75" t="s">
        <v>2936</v>
      </c>
      <c r="F37" s="136">
        <v>2</v>
      </c>
      <c r="G37" s="243">
        <f>VLOOKUP(D37,Engines_all!$A$3:$AZ$843,52,FALSE)</f>
        <v>436.7</v>
      </c>
      <c r="H37" s="74">
        <f>ALECA_Input!C20*ALECA_Input!I20</f>
        <v>0</v>
      </c>
      <c r="I37" s="82">
        <f t="shared" ref="I37" si="111">$H37/2*$F37*(R37+(Z37*$AG37/1000))</f>
        <v>0</v>
      </c>
      <c r="J37" s="82">
        <f t="shared" ref="J37" si="112">$H37/2*$F37*(S37+(AA37*$AG37/1000))</f>
        <v>0</v>
      </c>
      <c r="K37" s="82">
        <f t="shared" ref="K37" si="113">$H37/2*$F37*(T37+(AB37*$AG37/1000))</f>
        <v>0</v>
      </c>
      <c r="L37" s="82">
        <f t="shared" ref="L37" si="114">$H37/2*$F37*(U37+(AC37*$AG37/1000))</f>
        <v>0</v>
      </c>
      <c r="M37" s="161">
        <f t="shared" ref="M37" si="115">H37/2*$F37*(V37+AD37*AG37)</f>
        <v>0</v>
      </c>
      <c r="N37" s="82">
        <f t="shared" ref="N37" si="116">$H37/2*$F37*(W37+(AE37*$AG37/1000))</f>
        <v>0</v>
      </c>
      <c r="O37" s="82">
        <f t="shared" ref="O37" si="117">$H37/2*$F37*(X37+(AF37*$AG37/1000))</f>
        <v>0</v>
      </c>
      <c r="P37" s="262">
        <f t="shared" ref="P37" si="118">F37*H37/2*AH37/1000</f>
        <v>0</v>
      </c>
      <c r="Q37" s="76">
        <f>VLOOKUP($D37,Engines_all!$A$3:'Engines_all'!$V$843,11,FALSE)</f>
        <v>735.23400000000015</v>
      </c>
      <c r="R37" s="78">
        <f>VLOOKUP($D37,Engines_all!$A$3:'Engines_all'!$V$843,12,FALSE)</f>
        <v>26.018204940000004</v>
      </c>
      <c r="S37" s="78">
        <f>VLOOKUP($D37,Engines_all!$A$3:'Engines_all'!$V$843,13,FALSE)</f>
        <v>0</v>
      </c>
      <c r="T37" s="78">
        <f>VLOOKUP($D37,Engines_all!$A$3:'Engines_all'!$V$843,14,FALSE)</f>
        <v>0.43709160000000008</v>
      </c>
      <c r="U37" s="78">
        <f>VLOOKUP($D37,Engines_all!$A$3:'Engines_all'!$V$843,15,FALSE)</f>
        <v>8.574971479319958E-2</v>
      </c>
      <c r="V37" s="222">
        <f>VLOOKUP($D37,Engines_all!$A$3:'Engines_all'!$V$843,16,FALSE)</f>
        <v>1.093636288188448E+18</v>
      </c>
      <c r="W37" s="77">
        <f t="shared" ref="W37" si="119">Q37*0.0005</f>
        <v>0.36761700000000008</v>
      </c>
      <c r="X37" s="78">
        <f>IF(E37="K",Q37*'Rest Calc'!B$16,Q37*'Rest Calc'!B$17)</f>
        <v>2323.3394400000006</v>
      </c>
      <c r="Y37" s="76">
        <f>VLOOKUP($D37,Engines_all!$A$3:'Engines_all'!$V$843,17,FALSE)</f>
        <v>19500</v>
      </c>
      <c r="Z37" s="76">
        <f>VLOOKUP($D37,Engines_all!$A$3:'Engines_all'!$V$843,18,FALSE)</f>
        <v>93.794999999999987</v>
      </c>
      <c r="AA37" s="76">
        <f>VLOOKUP($D37,Engines_all!$A$3:'Engines_all'!$V$843,19,FALSE)</f>
        <v>17.355</v>
      </c>
      <c r="AB37" s="76">
        <f>VLOOKUP($D37,Engines_all!$A$3:'Engines_all'!$V$843,20,FALSE)</f>
        <v>372.255</v>
      </c>
      <c r="AC37" s="76">
        <f>VLOOKUP($D37,Engines_all!$A$3:'Engines_all'!$V$843,21,FALSE)</f>
        <v>1.2828177408369839</v>
      </c>
      <c r="AD37" s="222">
        <f>VLOOKUP($D37,Engines_all!$A$3:'Engines_all'!$V$843,22,FALSE)</f>
        <v>1.1151982470589598E+16</v>
      </c>
      <c r="AE37" s="80">
        <f t="shared" ref="AE37" si="120">Y37*0.0005</f>
        <v>9.75</v>
      </c>
      <c r="AF37" s="79">
        <f>IF(E37="K",Y37*'Rest Calc'!B$16,Y37*'Rest Calc'!B$17)</f>
        <v>61620</v>
      </c>
      <c r="AG37" s="79">
        <f>IF(ALECA_Input!D$121="Standard",VLOOKUP($B37,$A$211:$J$218,6,FALSE),VLOOKUP($B37,$A$211:$J$218,10,FALSE))</f>
        <v>0</v>
      </c>
      <c r="AH37" s="163">
        <f t="shared" ref="AH37" si="121">G37/2+80</f>
        <v>298.35000000000002</v>
      </c>
      <c r="AI37" s="75">
        <v>2</v>
      </c>
      <c r="AJ37" s="74"/>
      <c r="AK37" s="74"/>
      <c r="AL37" s="74"/>
    </row>
    <row r="38" spans="1:38" x14ac:dyDescent="0.25">
      <c r="A38" s="417" t="s">
        <v>3461</v>
      </c>
      <c r="B38" s="75" t="s">
        <v>383</v>
      </c>
      <c r="C38" s="74" t="s">
        <v>213</v>
      </c>
      <c r="D38" s="74" t="s">
        <v>2230</v>
      </c>
      <c r="E38" s="75" t="s">
        <v>2936</v>
      </c>
      <c r="F38" s="136">
        <v>4</v>
      </c>
      <c r="G38" s="243">
        <f>VLOOKUP(D38,Engines_all!$A$3:$AZ$843,52,FALSE)</f>
        <v>338.7</v>
      </c>
      <c r="H38" s="74">
        <f>ALECA_Input!C21*ALECA_Input!F21</f>
        <v>0</v>
      </c>
      <c r="I38" s="82">
        <f t="shared" si="0"/>
        <v>0</v>
      </c>
      <c r="J38" s="82">
        <f t="shared" si="1"/>
        <v>0</v>
      </c>
      <c r="K38" s="82">
        <f t="shared" si="2"/>
        <v>0</v>
      </c>
      <c r="L38" s="82">
        <f t="shared" si="3"/>
        <v>0</v>
      </c>
      <c r="M38" s="161">
        <f t="shared" si="4"/>
        <v>0</v>
      </c>
      <c r="N38" s="82">
        <f t="shared" si="5"/>
        <v>0</v>
      </c>
      <c r="O38" s="82">
        <f t="shared" si="6"/>
        <v>0</v>
      </c>
      <c r="P38" s="262">
        <f t="shared" si="7"/>
        <v>0</v>
      </c>
      <c r="Q38" s="76">
        <f>VLOOKUP($D38,Engines_all!$A$3:'Engines_all'!$V$843,11,FALSE)</f>
        <v>566.93399999999997</v>
      </c>
      <c r="R38" s="78">
        <f>VLOOKUP($D38,Engines_all!$A$3:'Engines_all'!$V$843,12,FALSE)</f>
        <v>14.64519408</v>
      </c>
      <c r="S38" s="78">
        <f>VLOOKUP($D38,Engines_all!$A$3:'Engines_all'!$V$843,13,FALSE)</f>
        <v>5.0179080000000001E-2</v>
      </c>
      <c r="T38" s="78">
        <f>VLOOKUP($D38,Engines_all!$A$3:'Engines_all'!$V$843,14,FALSE)</f>
        <v>0.32372363999999998</v>
      </c>
      <c r="U38" s="78">
        <f>VLOOKUP($D38,Engines_all!$A$3:'Engines_all'!$V$843,15,FALSE)</f>
        <v>5.6293034413612178E-2</v>
      </c>
      <c r="V38" s="222">
        <f>VLOOKUP($D38,Engines_all!$A$3:'Engines_all'!$V$843,16,FALSE)</f>
        <v>4.0896137395982413E+17</v>
      </c>
      <c r="W38" s="77">
        <f t="shared" si="8"/>
        <v>0.28346699999999997</v>
      </c>
      <c r="X38" s="78">
        <f>IF(E38="K",Q38*'Rest Calc'!B$16,Q38*'Rest Calc'!B$17)</f>
        <v>1791.51144</v>
      </c>
      <c r="Y38" s="76">
        <f>VLOOKUP($D38,Engines_all!$A$3:'Engines_all'!$V$843,17,FALSE)</f>
        <v>15300</v>
      </c>
      <c r="Z38" s="76">
        <f>VLOOKUP($D38,Engines_all!$A$3:'Engines_all'!$V$843,18,FALSE)</f>
        <v>83.232000000000014</v>
      </c>
      <c r="AA38" s="76">
        <f>VLOOKUP($D38,Engines_all!$A$3:'Engines_all'!$V$843,19,FALSE)</f>
        <v>0.61199999999999999</v>
      </c>
      <c r="AB38" s="76">
        <f>VLOOKUP($D38,Engines_all!$A$3:'Engines_all'!$V$843,20,FALSE)</f>
        <v>204.71400000000003</v>
      </c>
      <c r="AC38" s="76">
        <f>VLOOKUP($D38,Engines_all!$A$3:'Engines_all'!$V$843,21,FALSE)</f>
        <v>0.84275261902657006</v>
      </c>
      <c r="AD38" s="222">
        <f>VLOOKUP($D38,Engines_all!$A$3:'Engines_all'!$V$843,22,FALSE)</f>
        <v>4535551948262232</v>
      </c>
      <c r="AE38" s="80">
        <f t="shared" si="9"/>
        <v>7.65</v>
      </c>
      <c r="AF38" s="79">
        <f>IF(E38="K",Y38*'Rest Calc'!B$16,Y38*'Rest Calc'!B$17)</f>
        <v>48348</v>
      </c>
      <c r="AG38" s="79">
        <f>IF(ALECA_Input!D$121="Standard",VLOOKUP($B38,$A$211:$J$218,6,FALSE),VLOOKUP($B38,$A$211:$J$218,10,FALSE))</f>
        <v>0</v>
      </c>
      <c r="AH38" s="163">
        <f t="shared" si="89"/>
        <v>249.35</v>
      </c>
      <c r="AI38" s="75">
        <v>1</v>
      </c>
      <c r="AJ38" s="74"/>
      <c r="AK38" s="74"/>
      <c r="AL38" s="74"/>
    </row>
    <row r="39" spans="1:38" x14ac:dyDescent="0.25">
      <c r="A39" s="417" t="s">
        <v>3461</v>
      </c>
      <c r="B39" s="75" t="s">
        <v>383</v>
      </c>
      <c r="C39" s="74" t="s">
        <v>1687</v>
      </c>
      <c r="D39" s="74" t="s">
        <v>1686</v>
      </c>
      <c r="E39" s="75" t="s">
        <v>2936</v>
      </c>
      <c r="F39" s="136">
        <v>4</v>
      </c>
      <c r="G39" s="243">
        <f>VLOOKUP(D39,Engines_all!$A$3:$AZ$843,52,FALSE)</f>
        <v>332.39</v>
      </c>
      <c r="H39" s="74">
        <f>ALECA_Input!C21*ALECA_Input!I21</f>
        <v>0</v>
      </c>
      <c r="I39" s="82">
        <f t="shared" si="0"/>
        <v>0</v>
      </c>
      <c r="J39" s="82">
        <f t="shared" si="1"/>
        <v>0</v>
      </c>
      <c r="K39" s="82">
        <f t="shared" si="2"/>
        <v>0</v>
      </c>
      <c r="L39" s="82">
        <f t="shared" si="3"/>
        <v>0</v>
      </c>
      <c r="M39" s="161">
        <f t="shared" si="4"/>
        <v>0</v>
      </c>
      <c r="N39" s="82">
        <f t="shared" si="5"/>
        <v>0</v>
      </c>
      <c r="O39" s="82">
        <f t="shared" si="6"/>
        <v>0</v>
      </c>
      <c r="P39" s="262">
        <f t="shared" si="7"/>
        <v>0</v>
      </c>
      <c r="Q39" s="76">
        <f>VLOOKUP($D39,Engines_all!$A$3:'Engines_all'!$V$843,11,FALSE)</f>
        <v>567.702</v>
      </c>
      <c r="R39" s="78">
        <f>VLOOKUP($D39,Engines_all!$A$3:'Engines_all'!$V$843,12,FALSE)</f>
        <v>15.804502380000001</v>
      </c>
      <c r="S39" s="78">
        <f>VLOOKUP($D39,Engines_all!$A$3:'Engines_all'!$V$843,13,FALSE)</f>
        <v>2.3856660000000002E-2</v>
      </c>
      <c r="T39" s="78">
        <f>VLOOKUP($D39,Engines_all!$A$3:'Engines_all'!$V$843,14,FALSE)</f>
        <v>0.25466346000000001</v>
      </c>
      <c r="U39" s="78">
        <f>VLOOKUP($D39,Engines_all!$A$3:'Engines_all'!$V$843,15,FALSE)</f>
        <v>4.4904824970406827E-2</v>
      </c>
      <c r="V39" s="222">
        <f>VLOOKUP($D39,Engines_all!$A$3:'Engines_all'!$V$843,16,FALSE)</f>
        <v>2.4035997051089696E+17</v>
      </c>
      <c r="W39" s="77">
        <f t="shared" si="8"/>
        <v>0.28385100000000002</v>
      </c>
      <c r="X39" s="78">
        <f>IF(E39="K",Q39*'Rest Calc'!B$16,Q39*'Rest Calc'!B$17)</f>
        <v>1793.93832</v>
      </c>
      <c r="Y39" s="76">
        <f>VLOOKUP($D39,Engines_all!$A$3:'Engines_all'!$V$843,17,FALSE)</f>
        <v>14040.000000000002</v>
      </c>
      <c r="Z39" s="76">
        <f>VLOOKUP($D39,Engines_all!$A$3:'Engines_all'!$V$843,18,FALSE)</f>
        <v>73.569600000000008</v>
      </c>
      <c r="AA39" s="76">
        <f>VLOOKUP($D39,Engines_all!$A$3:'Engines_all'!$V$843,19,FALSE)</f>
        <v>56.721600000000002</v>
      </c>
      <c r="AB39" s="76">
        <f>VLOOKUP($D39,Engines_all!$A$3:'Engines_all'!$V$843,20,FALSE)</f>
        <v>471.46320000000003</v>
      </c>
      <c r="AC39" s="76">
        <f>VLOOKUP($D39,Engines_all!$A$3:'Engines_all'!$V$843,21,FALSE)</f>
        <v>1.6560275403575118</v>
      </c>
      <c r="AD39" s="222">
        <f>VLOOKUP($D39,Engines_all!$A$3:'Engines_all'!$V$843,22,FALSE)</f>
        <v>3.1215871860153876E+16</v>
      </c>
      <c r="AE39" s="80">
        <f t="shared" si="9"/>
        <v>7.0200000000000014</v>
      </c>
      <c r="AF39" s="79">
        <f>IF(E39="K",Y39*'Rest Calc'!B$16,Y39*'Rest Calc'!B$17)</f>
        <v>44366.400000000009</v>
      </c>
      <c r="AG39" s="79">
        <f>IF(ALECA_Input!D$121="Standard",VLOOKUP($B39,$A$211:$J$218,6,FALSE),VLOOKUP($B39,$A$211:$J$218,10,FALSE))</f>
        <v>0</v>
      </c>
      <c r="AH39" s="163">
        <f t="shared" si="89"/>
        <v>246.19499999999999</v>
      </c>
      <c r="AI39" s="75">
        <v>1</v>
      </c>
      <c r="AJ39" s="74"/>
      <c r="AK39" s="74"/>
      <c r="AL39" s="74"/>
    </row>
    <row r="40" spans="1:38" x14ac:dyDescent="0.25">
      <c r="A40" s="74" t="s">
        <v>449</v>
      </c>
      <c r="B40" s="75" t="s">
        <v>395</v>
      </c>
      <c r="C40" s="74" t="s">
        <v>215</v>
      </c>
      <c r="D40" s="74" t="s">
        <v>659</v>
      </c>
      <c r="E40" s="75" t="s">
        <v>2936</v>
      </c>
      <c r="F40" s="136">
        <v>2</v>
      </c>
      <c r="G40" s="243">
        <f>VLOOKUP(D40,Engines_all!$A$3:$AZ$843,52,FALSE)</f>
        <v>63.765000000000001</v>
      </c>
      <c r="H40" s="74">
        <f>ALECA_Input!C65</f>
        <v>0</v>
      </c>
      <c r="I40" s="82">
        <f t="shared" si="0"/>
        <v>0</v>
      </c>
      <c r="J40" s="82">
        <f t="shared" si="1"/>
        <v>0</v>
      </c>
      <c r="K40" s="82">
        <f t="shared" si="2"/>
        <v>0</v>
      </c>
      <c r="L40" s="82">
        <f t="shared" si="3"/>
        <v>0</v>
      </c>
      <c r="M40" s="161">
        <f t="shared" si="4"/>
        <v>0</v>
      </c>
      <c r="N40" s="82">
        <f t="shared" si="5"/>
        <v>0</v>
      </c>
      <c r="O40" s="82">
        <f t="shared" si="6"/>
        <v>0</v>
      </c>
      <c r="P40" s="262">
        <f t="shared" si="7"/>
        <v>0</v>
      </c>
      <c r="Q40" s="76">
        <f>VLOOKUP($D40,Engines_all!$A$3:'Engines_all'!$V$843,11,FALSE)</f>
        <v>147.62400000000002</v>
      </c>
      <c r="R40" s="78">
        <f>VLOOKUP($D40,Engines_all!$A$3:'Engines_all'!$V$843,12,FALSE)</f>
        <v>2.6959200000000001</v>
      </c>
      <c r="S40" s="78">
        <f>VLOOKUP($D40,Engines_all!$A$3:'Engines_all'!$V$843,13,FALSE)</f>
        <v>0</v>
      </c>
      <c r="T40" s="78">
        <f>VLOOKUP($D40,Engines_all!$A$3:'Engines_all'!$V$843,14,FALSE)</f>
        <v>0.17818440000000002</v>
      </c>
      <c r="U40" s="78">
        <f>VLOOKUP($D40,Engines_all!$A$3:'Engines_all'!$V$843,15,FALSE)</f>
        <v>1.8677345161890797E-2</v>
      </c>
      <c r="V40" s="222">
        <f>VLOOKUP($D40,Engines_all!$A$3:'Engines_all'!$V$843,16,FALSE)</f>
        <v>2.0661671474572278E+17</v>
      </c>
      <c r="W40" s="77">
        <f t="shared" si="8"/>
        <v>7.3812000000000016E-2</v>
      </c>
      <c r="X40" s="78">
        <f>IF(E40="K",Q40*'Rest Calc'!B$16,Q40*'Rest Calc'!B$17)</f>
        <v>466.49184000000008</v>
      </c>
      <c r="Y40" s="76">
        <f>VLOOKUP($D40,Engines_all!$A$3:'Engines_all'!$V$843,17,FALSE)</f>
        <v>6000</v>
      </c>
      <c r="Z40" s="76">
        <f>VLOOKUP($D40,Engines_all!$A$3:'Engines_all'!$V$843,18,FALSE)</f>
        <v>33</v>
      </c>
      <c r="AA40" s="76">
        <f>VLOOKUP($D40,Engines_all!$A$3:'Engines_all'!$V$843,19,FALSE)</f>
        <v>32.400000000000006</v>
      </c>
      <c r="AB40" s="76">
        <f>VLOOKUP($D40,Engines_all!$A$3:'Engines_all'!$V$843,20,FALSE)</f>
        <v>124.19999999999999</v>
      </c>
      <c r="AC40" s="76">
        <f>VLOOKUP($D40,Engines_all!$A$3:'Engines_all'!$V$843,21,FALSE)</f>
        <v>0.9531254888130215</v>
      </c>
      <c r="AD40" s="222">
        <f>VLOOKUP($D40,Engines_all!$A$3:'Engines_all'!$V$843,22,FALSE)</f>
        <v>2.3183070987400952E+16</v>
      </c>
      <c r="AE40" s="80">
        <f t="shared" si="9"/>
        <v>3</v>
      </c>
      <c r="AF40" s="79">
        <f>IF(E40="K",Y40*'Rest Calc'!B$16,Y40*'Rest Calc'!B$17)</f>
        <v>18960</v>
      </c>
      <c r="AG40" s="79">
        <f>IF(ALECA_Input!D$121="Standard",VLOOKUP($B40,$A$211:$J$218,6,FALSE),VLOOKUP($B40,$A$211:$J$218,10,FALSE))</f>
        <v>0</v>
      </c>
      <c r="AH40" s="163">
        <f t="shared" si="89"/>
        <v>111.88249999999999</v>
      </c>
      <c r="AI40" s="75">
        <v>4</v>
      </c>
      <c r="AJ40" s="74"/>
      <c r="AK40" s="74"/>
      <c r="AL40" s="74"/>
    </row>
    <row r="41" spans="1:38" x14ac:dyDescent="0.25">
      <c r="A41" s="74" t="s">
        <v>3484</v>
      </c>
      <c r="B41" s="75" t="s">
        <v>383</v>
      </c>
      <c r="C41" s="74" t="s">
        <v>3485</v>
      </c>
      <c r="D41" s="74" t="s">
        <v>1883</v>
      </c>
      <c r="E41" s="75" t="s">
        <v>2936</v>
      </c>
      <c r="F41" s="136">
        <v>4</v>
      </c>
      <c r="G41" s="243">
        <f>VLOOKUP(D41,Engines_all!$A$3:$AZ$843,52,FALSE)</f>
        <v>235.8</v>
      </c>
      <c r="H41" s="74">
        <f>ALECA_Input!C22</f>
        <v>0</v>
      </c>
      <c r="I41" s="82">
        <f t="shared" si="0"/>
        <v>0</v>
      </c>
      <c r="J41" s="82">
        <f t="shared" si="1"/>
        <v>0</v>
      </c>
      <c r="K41" s="82">
        <f t="shared" si="2"/>
        <v>0</v>
      </c>
      <c r="L41" s="82">
        <f t="shared" si="3"/>
        <v>0</v>
      </c>
      <c r="M41" s="161">
        <f t="shared" si="4"/>
        <v>0</v>
      </c>
      <c r="N41" s="82">
        <f t="shared" si="5"/>
        <v>0</v>
      </c>
      <c r="O41" s="82">
        <f t="shared" si="6"/>
        <v>0</v>
      </c>
      <c r="P41" s="262">
        <f t="shared" si="7"/>
        <v>0</v>
      </c>
      <c r="Q41" s="76">
        <f>VLOOKUP($D41,Engines_all!$A$3:'Engines_all'!$V$843,11,FALSE)</f>
        <v>529.80300000000011</v>
      </c>
      <c r="R41" s="78">
        <f>VLOOKUP($D41,Engines_all!$A$3:'Engines_all'!$V$843,12,FALSE)</f>
        <v>11.271646800000003</v>
      </c>
      <c r="S41" s="78">
        <f>VLOOKUP($D41,Engines_all!$A$3:'Engines_all'!$V$843,13,FALSE)</f>
        <v>0.12229020000000002</v>
      </c>
      <c r="T41" s="78">
        <f>VLOOKUP($D41,Engines_all!$A$3:'Engines_all'!$V$843,14,FALSE)</f>
        <v>0.35090459999999996</v>
      </c>
      <c r="U41" s="78">
        <f>VLOOKUP($D41,Engines_all!$A$3:'Engines_all'!$V$843,15,FALSE)</f>
        <v>5.8372477702280989E-2</v>
      </c>
      <c r="V41" s="222">
        <f>VLOOKUP($D41,Engines_all!$A$3:'Engines_all'!$V$843,16,FALSE)</f>
        <v>3.064125529706615E+17</v>
      </c>
      <c r="W41" s="77">
        <f t="shared" ref="W41" si="122">Q41*0.0005</f>
        <v>0.26490150000000007</v>
      </c>
      <c r="X41" s="78">
        <f>IF(E41="K",Q41*'Rest Calc'!B$16,Q41*'Rest Calc'!B$17)</f>
        <v>1674.1774800000005</v>
      </c>
      <c r="Y41" s="76">
        <f>VLOOKUP($D41,Engines_all!$A$3:'Engines_all'!$V$843,17,FALSE)</f>
        <v>14219.999999999998</v>
      </c>
      <c r="Z41" s="76">
        <f>VLOOKUP($D41,Engines_all!$A$3:'Engines_all'!$V$843,18,FALSE)</f>
        <v>42.66</v>
      </c>
      <c r="AA41" s="76">
        <f>VLOOKUP($D41,Engines_all!$A$3:'Engines_all'!$V$843,19,FALSE)</f>
        <v>170.64</v>
      </c>
      <c r="AB41" s="76">
        <f>VLOOKUP($D41,Engines_all!$A$3:'Engines_all'!$V$843,20,FALSE)</f>
        <v>753.66</v>
      </c>
      <c r="AC41" s="76">
        <f>VLOOKUP($D41,Engines_all!$A$3:'Engines_all'!$V$843,21,FALSE)</f>
        <v>2.1495842972527863</v>
      </c>
      <c r="AD41" s="222">
        <f>VLOOKUP($D41,Engines_all!$A$3:'Engines_all'!$V$843,22,FALSE)</f>
        <v>2.0209450148213752E+16</v>
      </c>
      <c r="AE41" s="80">
        <f t="shared" ref="AE41" si="123">Y41*0.0005</f>
        <v>7.1099999999999994</v>
      </c>
      <c r="AF41" s="79">
        <f>IF(E41="K",Y41*'Rest Calc'!B$16,Y41*'Rest Calc'!B$17)</f>
        <v>44935.199999999997</v>
      </c>
      <c r="AG41" s="79">
        <f>IF(ALECA_Input!D$121="Standard",VLOOKUP($B41,$A$211:$J$218,6,FALSE),VLOOKUP($B41,$A$211:$J$218,10,FALSE))</f>
        <v>0</v>
      </c>
      <c r="AH41" s="163">
        <f t="shared" si="89"/>
        <v>197.9</v>
      </c>
      <c r="AI41" s="75">
        <v>1</v>
      </c>
      <c r="AJ41" s="74"/>
      <c r="AK41" s="74"/>
      <c r="AL41" s="74"/>
    </row>
    <row r="42" spans="1:38" x14ac:dyDescent="0.25">
      <c r="A42" s="74" t="s">
        <v>216</v>
      </c>
      <c r="B42" s="75" t="s">
        <v>386</v>
      </c>
      <c r="C42" s="74" t="s">
        <v>217</v>
      </c>
      <c r="D42" s="74" t="s">
        <v>217</v>
      </c>
      <c r="E42" s="75" t="s">
        <v>2936</v>
      </c>
      <c r="F42" s="136">
        <v>2</v>
      </c>
      <c r="G42" s="243">
        <f>VLOOKUP(D42,Engines_all!$A$3:$AZ$843,52,FALSE)</f>
        <v>0</v>
      </c>
      <c r="H42" s="74">
        <f>ALECA_Input!C66</f>
        <v>0</v>
      </c>
      <c r="I42" s="82">
        <f t="shared" si="0"/>
        <v>0</v>
      </c>
      <c r="J42" s="82">
        <f t="shared" si="1"/>
        <v>0</v>
      </c>
      <c r="K42" s="82">
        <f t="shared" si="2"/>
        <v>0</v>
      </c>
      <c r="L42" s="82">
        <f t="shared" si="3"/>
        <v>0</v>
      </c>
      <c r="M42" s="161">
        <f t="shared" si="4"/>
        <v>0</v>
      </c>
      <c r="N42" s="82">
        <f t="shared" si="5"/>
        <v>0</v>
      </c>
      <c r="O42" s="82">
        <f t="shared" si="6"/>
        <v>0</v>
      </c>
      <c r="P42" s="262">
        <f t="shared" si="7"/>
        <v>0</v>
      </c>
      <c r="Q42" s="76">
        <f>VLOOKUP($D42,Engines_all!$A$3:'Engines_all'!$V$843,11,FALSE)</f>
        <v>47.362488981454348</v>
      </c>
      <c r="R42" s="78">
        <f>VLOOKUP($D42,Engines_all!$A$3:'Engines_all'!$V$843,12,FALSE)</f>
        <v>0.65176407419960303</v>
      </c>
      <c r="S42" s="78">
        <f>VLOOKUP($D42,Engines_all!$A$3:'Engines_all'!$V$843,13,FALSE)</f>
        <v>0</v>
      </c>
      <c r="T42" s="78">
        <f>VLOOKUP($D42,Engines_all!$A$3:'Engines_all'!$V$843,14,FALSE)</f>
        <v>0.1297975290647633</v>
      </c>
      <c r="U42" s="78">
        <f>VLOOKUP($D42,Engines_all!$A$3:'Engines_all'!$V$843,15,FALSE)</f>
        <v>2.1818481030297151E-2</v>
      </c>
      <c r="V42" s="222">
        <f>VLOOKUP($D42,Engines_all!$A$3:'Engines_all'!$V$843,16,FALSE)</f>
        <v>5.1277146781698854E+17</v>
      </c>
      <c r="W42" s="77">
        <f t="shared" si="8"/>
        <v>2.3681244490727175E-2</v>
      </c>
      <c r="X42" s="78">
        <f>IF(E42="K",Q42*'Rest Calc'!B$16,Q42*'Rest Calc'!B$17)</f>
        <v>149.66546518139575</v>
      </c>
      <c r="Y42" s="76">
        <f>VLOOKUP($D42,Engines_all!$A$3:'Engines_all'!$V$843,17,FALSE)</f>
        <v>1999.312310342166</v>
      </c>
      <c r="Z42" s="76">
        <f>VLOOKUP($D42,Engines_all!$A$3:'Engines_all'!$V$843,18,FALSE)</f>
        <v>9.5546571428571738</v>
      </c>
      <c r="AA42" s="76">
        <f>VLOOKUP($D42,Engines_all!$A$3:'Engines_all'!$V$843,19,FALSE)</f>
        <v>0</v>
      </c>
      <c r="AB42" s="76">
        <f>VLOOKUP($D42,Engines_all!$A$3:'Engines_all'!$V$843,20,FALSE)</f>
        <v>42.819511691740871</v>
      </c>
      <c r="AC42" s="76">
        <f>VLOOKUP($D42,Engines_all!$A$3:'Engines_all'!$V$843,21,FALSE)</f>
        <v>0.4967491366276145</v>
      </c>
      <c r="AD42" s="222">
        <f>VLOOKUP($D42,Engines_all!$A$3:'Engines_all'!$V$843,22,FALSE)</f>
        <v>2.260332213206982E+16</v>
      </c>
      <c r="AE42" s="80">
        <f t="shared" si="9"/>
        <v>0.99965615517108308</v>
      </c>
      <c r="AF42" s="79">
        <f>IF(E42="K",Y42*'Rest Calc'!B$16,Y42*'Rest Calc'!B$17)</f>
        <v>6317.8269006812452</v>
      </c>
      <c r="AG42" s="79">
        <f>IF(ALECA_Input!D$121="Standard",VLOOKUP($B42,$A$211:$J$218,6,FALSE),VLOOKUP($B42,$A$211:$J$218,10,FALSE))</f>
        <v>0</v>
      </c>
      <c r="AH42" s="163">
        <v>180</v>
      </c>
      <c r="AI42" s="75">
        <v>6</v>
      </c>
      <c r="AJ42" s="74"/>
      <c r="AK42" s="74"/>
      <c r="AL42" s="74"/>
    </row>
    <row r="43" spans="1:38" x14ac:dyDescent="0.25">
      <c r="A43" s="74" t="s">
        <v>218</v>
      </c>
      <c r="B43" s="75" t="s">
        <v>386</v>
      </c>
      <c r="C43" s="74" t="s">
        <v>219</v>
      </c>
      <c r="D43" s="74" t="s">
        <v>219</v>
      </c>
      <c r="E43" s="75" t="s">
        <v>2936</v>
      </c>
      <c r="F43" s="136">
        <v>2</v>
      </c>
      <c r="G43" s="243">
        <f>VLOOKUP(D43,Engines_all!$A$3:$AZ$843,52,FALSE)</f>
        <v>0</v>
      </c>
      <c r="H43" s="74">
        <f>ALECA_Input!C67</f>
        <v>0</v>
      </c>
      <c r="I43" s="82">
        <f t="shared" si="0"/>
        <v>0</v>
      </c>
      <c r="J43" s="82">
        <f t="shared" si="1"/>
        <v>0</v>
      </c>
      <c r="K43" s="82">
        <f t="shared" si="2"/>
        <v>0</v>
      </c>
      <c r="L43" s="82">
        <f t="shared" si="3"/>
        <v>0</v>
      </c>
      <c r="M43" s="161">
        <f t="shared" si="4"/>
        <v>0</v>
      </c>
      <c r="N43" s="82">
        <f t="shared" si="5"/>
        <v>0</v>
      </c>
      <c r="O43" s="82">
        <f t="shared" si="6"/>
        <v>0</v>
      </c>
      <c r="P43" s="262">
        <f t="shared" si="7"/>
        <v>0</v>
      </c>
      <c r="Q43" s="76">
        <f>VLOOKUP($D43,Engines_all!$A$3:'Engines_all'!$V$843,11,FALSE)</f>
        <v>47.778000000000006</v>
      </c>
      <c r="R43" s="78">
        <f>VLOOKUP($D43,Engines_all!$A$3:'Engines_all'!$V$843,12,FALSE)</f>
        <v>0.67487160000000002</v>
      </c>
      <c r="S43" s="78">
        <f>VLOOKUP($D43,Engines_all!$A$3:'Engines_all'!$V$843,13,FALSE)</f>
        <v>0</v>
      </c>
      <c r="T43" s="78">
        <f>VLOOKUP($D43,Engines_all!$A$3:'Engines_all'!$V$843,14,FALSE)</f>
        <v>0.1244064</v>
      </c>
      <c r="U43" s="78">
        <f>VLOOKUP($D43,Engines_all!$A$3:'Engines_all'!$V$843,15,FALSE)</f>
        <v>2.2494002879999999E-2</v>
      </c>
      <c r="V43" s="222">
        <f>VLOOKUP($D43,Engines_all!$A$3:'Engines_all'!$V$843,16,FALSE)</f>
        <v>5.5799708732273485E+17</v>
      </c>
      <c r="W43" s="77">
        <f t="shared" si="8"/>
        <v>2.3889000000000004E-2</v>
      </c>
      <c r="X43" s="78">
        <f>IF(E43="K",Q43*'Rest Calc'!B$16,Q43*'Rest Calc'!B$17)</f>
        <v>150.97848000000002</v>
      </c>
      <c r="Y43" s="76">
        <f>VLOOKUP($D43,Engines_all!$A$3:'Engines_all'!$V$843,17,FALSE)</f>
        <v>2062.1590627301339</v>
      </c>
      <c r="Z43" s="76">
        <f>VLOOKUP($D43,Engines_all!$A$3:'Engines_all'!$V$843,18,FALSE)</f>
        <v>10.125000000000053</v>
      </c>
      <c r="AA43" s="76">
        <f>VLOOKUP($D43,Engines_all!$A$3:'Engines_all'!$V$843,19,FALSE)</f>
        <v>5.5587083107081234</v>
      </c>
      <c r="AB43" s="76">
        <f>VLOOKUP($D43,Engines_all!$A$3:'Engines_all'!$V$843,20,FALSE)</f>
        <v>40.399735839943666</v>
      </c>
      <c r="AC43" s="76">
        <f>VLOOKUP($D43,Engines_all!$A$3:'Engines_all'!$V$843,21,FALSE)</f>
        <v>0.55594098678528381</v>
      </c>
      <c r="AD43" s="222">
        <f>VLOOKUP($D43,Engines_all!$A$3:'Engines_all'!$V$843,22,FALSE)</f>
        <v>2.3839715204954232E+16</v>
      </c>
      <c r="AE43" s="80">
        <f t="shared" si="9"/>
        <v>1.0310795313650669</v>
      </c>
      <c r="AF43" s="79">
        <f>IF(E43="K",Y43*'Rest Calc'!B$16,Y43*'Rest Calc'!B$17)</f>
        <v>6516.4226382272236</v>
      </c>
      <c r="AG43" s="79">
        <f>IF(ALECA_Input!D$121="Standard",VLOOKUP($B43,$A$211:$J$218,6,FALSE),VLOOKUP($B43,$A$211:$J$218,10,FALSE))</f>
        <v>0</v>
      </c>
      <c r="AH43" s="163">
        <v>180</v>
      </c>
      <c r="AI43" s="75">
        <v>6</v>
      </c>
      <c r="AJ43" s="74"/>
      <c r="AK43" s="74"/>
      <c r="AL43" s="74"/>
    </row>
    <row r="44" spans="1:38" x14ac:dyDescent="0.25">
      <c r="A44" s="397" t="s">
        <v>3465</v>
      </c>
      <c r="B44" s="75" t="s">
        <v>384</v>
      </c>
      <c r="C44" s="74" t="s">
        <v>941</v>
      </c>
      <c r="D44" s="74" t="s">
        <v>940</v>
      </c>
      <c r="E44" s="75" t="s">
        <v>2936</v>
      </c>
      <c r="F44" s="136">
        <v>1</v>
      </c>
      <c r="G44" s="243">
        <f>VLOOKUP(D44,Engines_all!$A$3:$AZ$843,52,FALSE)</f>
        <v>0</v>
      </c>
      <c r="H44" s="74">
        <f>ALECA_Input!C68</f>
        <v>0</v>
      </c>
      <c r="I44" s="82">
        <f t="shared" si="0"/>
        <v>0</v>
      </c>
      <c r="J44" s="82">
        <f t="shared" si="1"/>
        <v>0</v>
      </c>
      <c r="K44" s="82">
        <f t="shared" si="2"/>
        <v>0</v>
      </c>
      <c r="L44" s="82">
        <f t="shared" si="3"/>
        <v>0</v>
      </c>
      <c r="M44" s="161">
        <f t="shared" si="4"/>
        <v>0</v>
      </c>
      <c r="N44" s="82">
        <f t="shared" si="5"/>
        <v>0</v>
      </c>
      <c r="O44" s="82">
        <f t="shared" si="6"/>
        <v>0</v>
      </c>
      <c r="P44" s="262">
        <f t="shared" si="7"/>
        <v>0</v>
      </c>
      <c r="Q44" s="76">
        <f>VLOOKUP($D44,Engines_all!$A$3:'Engines_all'!$V$843,11,FALSE)</f>
        <v>14.586</v>
      </c>
      <c r="R44" s="78">
        <f>VLOOKUP($D44,Engines_all!$A$3:'Engines_all'!$V$843,12,FALSE)</f>
        <v>7.5840599999999994E-2</v>
      </c>
      <c r="S44" s="78">
        <f>VLOOKUP($D44,Engines_all!$A$3:'Engines_all'!$V$843,13,FALSE)</f>
        <v>0.13884881999999998</v>
      </c>
      <c r="T44" s="78">
        <f>VLOOKUP($D44,Engines_all!$A$3:'Engines_all'!$V$843,14,FALSE)</f>
        <v>0.17444460000000001</v>
      </c>
      <c r="U44" s="78">
        <f>VLOOKUP($D44,Engines_all!$A$3:'Engines_all'!$V$843,15,FALSE)</f>
        <v>1.247418216E-2</v>
      </c>
      <c r="V44" s="222">
        <f>VLOOKUP($D44,Engines_all!$A$3:'Engines_all'!$V$843,16,FALSE)</f>
        <v>5.4147852E+17</v>
      </c>
      <c r="W44" s="77">
        <f t="shared" si="8"/>
        <v>7.293E-3</v>
      </c>
      <c r="X44" s="78">
        <f>IF(E44="K",Q44*'Rest Calc'!B$16,Q44*'Rest Calc'!B$17)</f>
        <v>46.091760000000001</v>
      </c>
      <c r="Y44" s="76">
        <f>VLOOKUP($D44,Engines_all!$A$3:'Engines_all'!$V$843,17,FALSE)</f>
        <v>912</v>
      </c>
      <c r="Z44" s="76">
        <f>VLOOKUP($D44,Engines_all!$A$3:'Engines_all'!$V$843,18,FALSE)</f>
        <v>1.9152000000000002</v>
      </c>
      <c r="AA44" s="76">
        <f>VLOOKUP($D44,Engines_all!$A$3:'Engines_all'!$V$843,19,FALSE)</f>
        <v>42.973439999999997</v>
      </c>
      <c r="AB44" s="76">
        <f>VLOOKUP($D44,Engines_all!$A$3:'Engines_all'!$V$843,20,FALSE)</f>
        <v>56.361600000000003</v>
      </c>
      <c r="AC44" s="76">
        <f>VLOOKUP($D44,Engines_all!$A$3:'Engines_all'!$V$843,21,FALSE)</f>
        <v>0.47258964480000004</v>
      </c>
      <c r="AD44" s="222">
        <f>VLOOKUP($D44,Engines_all!$A$3:'Engines_all'!$V$843,22,FALSE)</f>
        <v>9.70368E+16</v>
      </c>
      <c r="AE44" s="80">
        <f t="shared" si="9"/>
        <v>0.45600000000000002</v>
      </c>
      <c r="AF44" s="79">
        <f>IF(E44="K",Y44*'Rest Calc'!B$16,Y44*'Rest Calc'!B$17)</f>
        <v>2881.92</v>
      </c>
      <c r="AG44" s="79">
        <f>IF(ALECA_Input!D$121="Standard",VLOOKUP($B44,$A$211:$J$218,6,FALSE),VLOOKUP($B44,$A$211:$J$218,10,FALSE))</f>
        <v>5</v>
      </c>
      <c r="AH44" s="163">
        <f>G44/2+80</f>
        <v>80</v>
      </c>
      <c r="AI44" s="75">
        <v>8</v>
      </c>
      <c r="AJ44" s="74"/>
      <c r="AK44" s="74"/>
      <c r="AL44" s="74"/>
    </row>
    <row r="45" spans="1:38" x14ac:dyDescent="0.25">
      <c r="A45" s="74" t="s">
        <v>450</v>
      </c>
      <c r="B45" s="75" t="s">
        <v>395</v>
      </c>
      <c r="C45" s="74" t="s">
        <v>220</v>
      </c>
      <c r="D45" s="74" t="s">
        <v>660</v>
      </c>
      <c r="E45" s="75" t="s">
        <v>2936</v>
      </c>
      <c r="F45" s="136">
        <v>4</v>
      </c>
      <c r="G45" s="243">
        <f>VLOOKUP(D45,Engines_all!$A$3:$AZ$843,52,FALSE)</f>
        <v>31</v>
      </c>
      <c r="H45" s="74">
        <f>ALECA_Input!C69</f>
        <v>0</v>
      </c>
      <c r="I45" s="82">
        <f t="shared" si="0"/>
        <v>0</v>
      </c>
      <c r="J45" s="82">
        <f t="shared" si="1"/>
        <v>0</v>
      </c>
      <c r="K45" s="82">
        <f t="shared" si="2"/>
        <v>0</v>
      </c>
      <c r="L45" s="82">
        <f t="shared" si="3"/>
        <v>0</v>
      </c>
      <c r="M45" s="161">
        <f t="shared" si="4"/>
        <v>0</v>
      </c>
      <c r="N45" s="82">
        <f t="shared" si="5"/>
        <v>0</v>
      </c>
      <c r="O45" s="82">
        <f t="shared" si="6"/>
        <v>0</v>
      </c>
      <c r="P45" s="262">
        <f t="shared" si="7"/>
        <v>0</v>
      </c>
      <c r="Q45" s="76">
        <f>VLOOKUP($D45,Engines_all!$A$3:'Engines_all'!$V$843,11,FALSE)</f>
        <v>80.104799999999997</v>
      </c>
      <c r="R45" s="78">
        <f>VLOOKUP($D45,Engines_all!$A$3:'Engines_all'!$V$843,12,FALSE)</f>
        <v>0.85409373600000005</v>
      </c>
      <c r="S45" s="78">
        <f>VLOOKUP($D45,Engines_all!$A$3:'Engines_all'!$V$843,13,FALSE)</f>
        <v>3.6601679999999997E-3</v>
      </c>
      <c r="T45" s="78">
        <f>VLOOKUP($D45,Engines_all!$A$3:'Engines_all'!$V$843,14,FALSE)</f>
        <v>0.12987563999999999</v>
      </c>
      <c r="U45" s="78">
        <f>VLOOKUP($D45,Engines_all!$A$3:'Engines_all'!$V$843,15,FALSE)</f>
        <v>9.9917995506837547E-3</v>
      </c>
      <c r="V45" s="222">
        <f>VLOOKUP($D45,Engines_all!$A$3:'Engines_all'!$V$843,16,FALSE)</f>
        <v>1.3548422392300227E+17</v>
      </c>
      <c r="W45" s="77">
        <f t="shared" si="8"/>
        <v>4.0052400000000002E-2</v>
      </c>
      <c r="X45" s="78">
        <f>IF(E45="K",Q45*'Rest Calc'!B$16,Q45*'Rest Calc'!B$17)</f>
        <v>253.131168</v>
      </c>
      <c r="Y45" s="76">
        <f>VLOOKUP($D45,Engines_all!$A$3:'Engines_all'!$V$843,17,FALSE)</f>
        <v>2718</v>
      </c>
      <c r="Z45" s="76">
        <f>VLOOKUP($D45,Engines_all!$A$3:'Engines_all'!$V$843,18,FALSE)</f>
        <v>8.9150400000000012</v>
      </c>
      <c r="AA45" s="76">
        <f>VLOOKUP($D45,Engines_all!$A$3:'Engines_all'!$V$843,19,FALSE)</f>
        <v>12.828959999999999</v>
      </c>
      <c r="AB45" s="76">
        <f>VLOOKUP($D45,Engines_all!$A$3:'Engines_all'!$V$843,20,FALSE)</f>
        <v>102.82194</v>
      </c>
      <c r="AC45" s="76">
        <f>VLOOKUP($D45,Engines_all!$A$3:'Engines_all'!$V$843,21,FALSE)</f>
        <v>0.50705815781446373</v>
      </c>
      <c r="AD45" s="222">
        <f>VLOOKUP($D45,Engines_all!$A$3:'Engines_all'!$V$843,22,FALSE)</f>
        <v>1.4876391173064362E+16</v>
      </c>
      <c r="AE45" s="80">
        <f t="shared" si="9"/>
        <v>1.359</v>
      </c>
      <c r="AF45" s="79">
        <f>IF(E45="K",Y45*'Rest Calc'!B$16,Y45*'Rest Calc'!B$17)</f>
        <v>8588.880000000001</v>
      </c>
      <c r="AG45" s="79">
        <f>IF(ALECA_Input!D$121="Standard",VLOOKUP($B45,$A$211:$J$218,6,FALSE),VLOOKUP($B45,$A$211:$J$218,10,FALSE))</f>
        <v>0</v>
      </c>
      <c r="AH45" s="163">
        <f>G45/2+80</f>
        <v>95.5</v>
      </c>
      <c r="AI45" s="75">
        <v>4</v>
      </c>
      <c r="AJ45" s="74"/>
      <c r="AK45" s="74"/>
      <c r="AL45" s="74"/>
    </row>
    <row r="46" spans="1:38" x14ac:dyDescent="0.25">
      <c r="A46" s="74" t="s">
        <v>221</v>
      </c>
      <c r="B46" s="75" t="s">
        <v>386</v>
      </c>
      <c r="C46" s="74" t="s">
        <v>222</v>
      </c>
      <c r="D46" s="74" t="s">
        <v>2915</v>
      </c>
      <c r="E46" s="75" t="s">
        <v>2936</v>
      </c>
      <c r="F46" s="136">
        <v>2</v>
      </c>
      <c r="G46" s="243">
        <f>VLOOKUP(D46,Engines_all!$A$3:$AZ$843,52,FALSE)</f>
        <v>0</v>
      </c>
      <c r="H46" s="74">
        <f>ALECA_Input!C70</f>
        <v>0</v>
      </c>
      <c r="I46" s="82">
        <f t="shared" si="0"/>
        <v>0</v>
      </c>
      <c r="J46" s="82">
        <f t="shared" si="1"/>
        <v>0</v>
      </c>
      <c r="K46" s="82">
        <f t="shared" si="2"/>
        <v>0</v>
      </c>
      <c r="L46" s="82">
        <f t="shared" si="3"/>
        <v>0</v>
      </c>
      <c r="M46" s="161">
        <f t="shared" si="4"/>
        <v>0</v>
      </c>
      <c r="N46" s="82">
        <f t="shared" si="5"/>
        <v>0</v>
      </c>
      <c r="O46" s="82">
        <f t="shared" si="6"/>
        <v>0</v>
      </c>
      <c r="P46" s="262">
        <f t="shared" si="7"/>
        <v>0</v>
      </c>
      <c r="Q46" s="76">
        <f>VLOOKUP($D46,Engines_all!$A$3:'Engines_all'!$V$843,11,FALSE)</f>
        <v>49.188000000000002</v>
      </c>
      <c r="R46" s="78">
        <f>VLOOKUP($D46,Engines_all!$A$3:'Engines_all'!$V$843,12,FALSE)</f>
        <v>0.69870059999999989</v>
      </c>
      <c r="S46" s="78">
        <f>VLOOKUP($D46,Engines_all!$A$3:'Engines_all'!$V$843,13,FALSE)</f>
        <v>0</v>
      </c>
      <c r="T46" s="78">
        <f>VLOOKUP($D46,Engines_all!$A$3:'Engines_all'!$V$843,14,FALSE)</f>
        <v>0.12708539999999999</v>
      </c>
      <c r="U46" s="78">
        <f>VLOOKUP($D46,Engines_all!$A$3:'Engines_all'!$V$843,15,FALSE)</f>
        <v>2.323137648E-2</v>
      </c>
      <c r="V46" s="222">
        <f>VLOOKUP($D46,Engines_all!$A$3:'Engines_all'!$V$843,16,FALSE)</f>
        <v>5.6351894725123251E+17</v>
      </c>
      <c r="W46" s="77">
        <f t="shared" si="8"/>
        <v>2.4594000000000001E-2</v>
      </c>
      <c r="X46" s="78">
        <f>IF(E46="K",Q46*'Rest Calc'!B$16,Q46*'Rest Calc'!B$17)</f>
        <v>155.43408000000002</v>
      </c>
      <c r="Y46" s="76">
        <f>VLOOKUP($D46,Engines_all!$A$3:'Engines_all'!$V$843,17,FALSE)</f>
        <v>2062.1590627301339</v>
      </c>
      <c r="Z46" s="76">
        <f>VLOOKUP($D46,Engines_all!$A$3:'Engines_all'!$V$843,18,FALSE)</f>
        <v>10.125000000000053</v>
      </c>
      <c r="AA46" s="76">
        <f>VLOOKUP($D46,Engines_all!$A$3:'Engines_all'!$V$843,19,FALSE)</f>
        <v>0</v>
      </c>
      <c r="AB46" s="76">
        <f>VLOOKUP($D46,Engines_all!$A$3:'Engines_all'!$V$843,20,FALSE)</f>
        <v>40.399735839943666</v>
      </c>
      <c r="AC46" s="76">
        <f>VLOOKUP($D46,Engines_all!$A$3:'Engines_all'!$V$843,21,FALSE)</f>
        <v>0.52164375650821471</v>
      </c>
      <c r="AD46" s="222">
        <f>VLOOKUP($D46,Engines_all!$A$3:'Engines_all'!$V$843,22,FALSE)</f>
        <v>2.3839715204954232E+16</v>
      </c>
      <c r="AE46" s="80">
        <f t="shared" si="9"/>
        <v>1.0310795313650669</v>
      </c>
      <c r="AF46" s="79">
        <f>IF(E46="K",Y46*'Rest Calc'!B$16,Y46*'Rest Calc'!B$17)</f>
        <v>6516.4226382272236</v>
      </c>
      <c r="AG46" s="79">
        <f>IF(ALECA_Input!D$121="Standard",VLOOKUP($B46,$A$211:$J$218,6,FALSE),VLOOKUP($B46,$A$211:$J$218,10,FALSE))</f>
        <v>0</v>
      </c>
      <c r="AH46" s="163">
        <v>180</v>
      </c>
      <c r="AI46" s="75">
        <v>6</v>
      </c>
      <c r="AJ46" s="74"/>
      <c r="AK46" s="74"/>
      <c r="AL46" s="74"/>
    </row>
    <row r="47" spans="1:38" x14ac:dyDescent="0.25">
      <c r="A47" s="74" t="s">
        <v>223</v>
      </c>
      <c r="B47" s="75" t="s">
        <v>386</v>
      </c>
      <c r="C47" s="74" t="s">
        <v>224</v>
      </c>
      <c r="D47" s="74" t="s">
        <v>225</v>
      </c>
      <c r="E47" s="75" t="s">
        <v>2936</v>
      </c>
      <c r="F47" s="136">
        <v>2</v>
      </c>
      <c r="G47" s="243">
        <f>VLOOKUP(D47,Engines_all!$A$3:$AZ$843,52,FALSE)</f>
        <v>0</v>
      </c>
      <c r="H47" s="74">
        <f>ALECA_Input!C71</f>
        <v>0</v>
      </c>
      <c r="I47" s="82">
        <f t="shared" si="0"/>
        <v>0</v>
      </c>
      <c r="J47" s="82">
        <f t="shared" si="1"/>
        <v>0</v>
      </c>
      <c r="K47" s="82">
        <f t="shared" si="2"/>
        <v>0</v>
      </c>
      <c r="L47" s="82">
        <f t="shared" si="3"/>
        <v>0</v>
      </c>
      <c r="M47" s="161">
        <f t="shared" si="4"/>
        <v>0</v>
      </c>
      <c r="N47" s="82">
        <f t="shared" si="5"/>
        <v>0</v>
      </c>
      <c r="O47" s="82">
        <f t="shared" si="6"/>
        <v>0</v>
      </c>
      <c r="P47" s="262">
        <f t="shared" si="7"/>
        <v>0</v>
      </c>
      <c r="Q47" s="76">
        <f>VLOOKUP($D47,Engines_all!$A$3:'Engines_all'!$V$843,11,FALSE)</f>
        <v>17.960999999999999</v>
      </c>
      <c r="R47" s="78">
        <f>VLOOKUP($D47,Engines_all!$A$3:'Engines_all'!$V$843,12,FALSE)</f>
        <v>0.19738326</v>
      </c>
      <c r="S47" s="78">
        <f>VLOOKUP($D47,Engines_all!$A$3:'Engines_all'!$V$843,13,FALSE)</f>
        <v>6.792359999999999E-3</v>
      </c>
      <c r="T47" s="78">
        <f>VLOOKUP($D47,Engines_all!$A$3:'Engines_all'!$V$843,14,FALSE)</f>
        <v>6.8644800000000006E-2</v>
      </c>
      <c r="U47" s="78">
        <f>VLOOKUP($D47,Engines_all!$A$3:'Engines_all'!$V$843,15,FALSE)</f>
        <v>6.0467837099999998E-3</v>
      </c>
      <c r="V47" s="222">
        <f>VLOOKUP($D47,Engines_all!$A$3:'Engines_all'!$V$843,16,FALSE)</f>
        <v>1.3176402274008154E+17</v>
      </c>
      <c r="W47" s="77">
        <f t="shared" si="8"/>
        <v>8.9804999999999989E-3</v>
      </c>
      <c r="X47" s="78">
        <f>IF(E47="K",Q47*'Rest Calc'!B$16,Q47*'Rest Calc'!B$17)</f>
        <v>56.75676</v>
      </c>
      <c r="Y47" s="76">
        <f>VLOOKUP($D47,Engines_all!$A$3:'Engines_all'!$V$843,17,FALSE)</f>
        <v>846</v>
      </c>
      <c r="Z47" s="76">
        <f>VLOOKUP($D47,Engines_all!$A$3:'Engines_all'!$V$843,18,FALSE)</f>
        <v>2.4195599999999997</v>
      </c>
      <c r="AA47" s="76">
        <f>VLOOKUP($D47,Engines_all!$A$3:'Engines_all'!$V$843,19,FALSE)</f>
        <v>66.927059999999997</v>
      </c>
      <c r="AB47" s="76">
        <f>VLOOKUP($D47,Engines_all!$A$3:'Engines_all'!$V$843,20,FALSE)</f>
        <v>52.028999999999996</v>
      </c>
      <c r="AC47" s="76">
        <f>VLOOKUP($D47,Engines_all!$A$3:'Engines_all'!$V$843,21,FALSE)</f>
        <v>0.60029512019999998</v>
      </c>
      <c r="AD47" s="222">
        <f>VLOOKUP($D47,Engines_all!$A$3:'Engines_all'!$V$843,22,FALSE)</f>
        <v>8270051171582382</v>
      </c>
      <c r="AE47" s="80">
        <f t="shared" si="9"/>
        <v>0.42299999999999999</v>
      </c>
      <c r="AF47" s="79">
        <f>IF(E47="K",Y47*'Rest Calc'!B$16,Y47*'Rest Calc'!B$17)</f>
        <v>2673.36</v>
      </c>
      <c r="AG47" s="79">
        <f>IF(ALECA_Input!D$121="Standard",VLOOKUP($B47,$A$211:$J$218,6,FALSE),VLOOKUP($B47,$A$211:$J$218,10,FALSE))</f>
        <v>0</v>
      </c>
      <c r="AH47" s="163">
        <v>180</v>
      </c>
      <c r="AI47" s="75">
        <v>6</v>
      </c>
      <c r="AJ47" s="74"/>
      <c r="AK47" s="74"/>
      <c r="AL47" s="74"/>
    </row>
    <row r="48" spans="1:38" x14ac:dyDescent="0.25">
      <c r="A48" s="74" t="s">
        <v>226</v>
      </c>
      <c r="B48" s="75" t="s">
        <v>386</v>
      </c>
      <c r="C48" s="74" t="s">
        <v>227</v>
      </c>
      <c r="D48" s="74" t="s">
        <v>227</v>
      </c>
      <c r="E48" s="75" t="s">
        <v>2936</v>
      </c>
      <c r="F48" s="136">
        <v>2</v>
      </c>
      <c r="G48" s="243">
        <f>VLOOKUP(D48,Engines_all!$A$3:$AZ$843,52,FALSE)</f>
        <v>0</v>
      </c>
      <c r="H48" s="74">
        <f>ALECA_Input!C72</f>
        <v>0</v>
      </c>
      <c r="I48" s="82">
        <f t="shared" si="0"/>
        <v>0</v>
      </c>
      <c r="J48" s="82">
        <f t="shared" si="1"/>
        <v>0</v>
      </c>
      <c r="K48" s="82">
        <f t="shared" si="2"/>
        <v>0</v>
      </c>
      <c r="L48" s="82">
        <f t="shared" si="3"/>
        <v>0</v>
      </c>
      <c r="M48" s="161">
        <f t="shared" si="4"/>
        <v>0</v>
      </c>
      <c r="N48" s="82">
        <f t="shared" si="5"/>
        <v>0</v>
      </c>
      <c r="O48" s="82">
        <f t="shared" si="6"/>
        <v>0</v>
      </c>
      <c r="P48" s="262">
        <f t="shared" si="7"/>
        <v>0</v>
      </c>
      <c r="Q48" s="76">
        <f>VLOOKUP($D48,Engines_all!$A$3:'Engines_all'!$V$843,11,FALSE)</f>
        <v>27.09</v>
      </c>
      <c r="R48" s="78">
        <f>VLOOKUP($D48,Engines_all!$A$3:'Engines_all'!$V$843,12,FALSE)</f>
        <v>0.15799800000000003</v>
      </c>
      <c r="S48" s="78">
        <f>VLOOKUP($D48,Engines_all!$A$3:'Engines_all'!$V$843,13,FALSE)</f>
        <v>4.1169000000000004E-2</v>
      </c>
      <c r="T48" s="78">
        <f>VLOOKUP($D48,Engines_all!$A$3:'Engines_all'!$V$843,14,FALSE)</f>
        <v>0.32819700000000002</v>
      </c>
      <c r="U48" s="78">
        <f>VLOOKUP($D48,Engines_all!$A$3:'Engines_all'!$V$843,15,FALSE)</f>
        <v>1.23671109E-2</v>
      </c>
      <c r="V48" s="222">
        <f>VLOOKUP($D48,Engines_all!$A$3:'Engines_all'!$V$843,16,FALSE)</f>
        <v>2.2901578536118963E+17</v>
      </c>
      <c r="W48" s="77">
        <f t="shared" si="8"/>
        <v>1.3545E-2</v>
      </c>
      <c r="X48" s="78">
        <f>IF(E48="K",Q48*'Rest Calc'!B$16,Q48*'Rest Calc'!B$17)</f>
        <v>85.604399999999998</v>
      </c>
      <c r="Y48" s="76">
        <f>VLOOKUP($D48,Engines_all!$A$3:'Engines_all'!$V$843,17,FALSE)</f>
        <v>1021.259726304444</v>
      </c>
      <c r="Z48" s="76">
        <f>VLOOKUP($D48,Engines_all!$A$3:'Engines_all'!$V$843,18,FALSE)</f>
        <v>1.8720000000000034</v>
      </c>
      <c r="AA48" s="76">
        <f>VLOOKUP($D48,Engines_all!$A$3:'Engines_all'!$V$843,19,FALSE)</f>
        <v>62.499071134883565</v>
      </c>
      <c r="AB48" s="76">
        <f>VLOOKUP($D48,Engines_all!$A$3:'Engines_all'!$V$843,20,FALSE)</f>
        <v>182.06215463645037</v>
      </c>
      <c r="AC48" s="76">
        <f>VLOOKUP($D48,Engines_all!$A$3:'Engines_all'!$V$843,21,FALSE)</f>
        <v>0.62097878542635387</v>
      </c>
      <c r="AD48" s="222">
        <f>VLOOKUP($D48,Engines_all!$A$3:'Engines_all'!$V$843,22,FALSE)</f>
        <v>1.0504165831202492E+16</v>
      </c>
      <c r="AE48" s="80">
        <f t="shared" si="9"/>
        <v>0.51062986315222203</v>
      </c>
      <c r="AF48" s="79">
        <f>IF(E48="K",Y48*'Rest Calc'!B$16,Y48*'Rest Calc'!B$17)</f>
        <v>3227.1807351220432</v>
      </c>
      <c r="AG48" s="79">
        <f>IF(ALECA_Input!D$121="Standard",VLOOKUP($B48,$A$211:$J$218,6,FALSE),VLOOKUP($B48,$A$211:$J$218,10,FALSE))</f>
        <v>0</v>
      </c>
      <c r="AH48" s="163">
        <v>180</v>
      </c>
      <c r="AI48" s="75">
        <v>6</v>
      </c>
      <c r="AJ48" s="74"/>
      <c r="AK48" s="74"/>
      <c r="AL48" s="74"/>
    </row>
    <row r="49" spans="1:38" x14ac:dyDescent="0.25">
      <c r="A49" s="74" t="s">
        <v>2947</v>
      </c>
      <c r="B49" s="75" t="s">
        <v>396</v>
      </c>
      <c r="C49" s="74" t="s">
        <v>228</v>
      </c>
      <c r="D49" s="74" t="s">
        <v>799</v>
      </c>
      <c r="E49" s="75" t="s">
        <v>2936</v>
      </c>
      <c r="F49" s="136">
        <v>2</v>
      </c>
      <c r="G49" s="243">
        <f>VLOOKUP(D49,Engines_all!$A$3:$AZ$843,52,FALSE)</f>
        <v>10.68</v>
      </c>
      <c r="H49" s="74">
        <f>ALECA_Input!C73</f>
        <v>0</v>
      </c>
      <c r="I49" s="82">
        <f t="shared" si="0"/>
        <v>0</v>
      </c>
      <c r="J49" s="82">
        <f t="shared" si="1"/>
        <v>0</v>
      </c>
      <c r="K49" s="82">
        <f t="shared" si="2"/>
        <v>0</v>
      </c>
      <c r="L49" s="82">
        <f t="shared" si="3"/>
        <v>0</v>
      </c>
      <c r="M49" s="161">
        <f t="shared" si="4"/>
        <v>0</v>
      </c>
      <c r="N49" s="82">
        <f t="shared" si="5"/>
        <v>0</v>
      </c>
      <c r="O49" s="82">
        <f t="shared" si="6"/>
        <v>0</v>
      </c>
      <c r="P49" s="262">
        <f t="shared" si="7"/>
        <v>0</v>
      </c>
      <c r="Q49" s="76">
        <f>VLOOKUP($D49,Engines_all!$A$3:'Engines_all'!$V$843,11,FALSE)</f>
        <v>12.738</v>
      </c>
      <c r="R49" s="78">
        <f>VLOOKUP($D49,Engines_all!$A$3:'Engines_all'!$V$843,12,FALSE)</f>
        <v>0.1577694</v>
      </c>
      <c r="S49" s="78">
        <f>VLOOKUP($D49,Engines_all!$A$3:'Engines_all'!$V$843,13,FALSE)</f>
        <v>8.6937000000000004E-3</v>
      </c>
      <c r="T49" s="78">
        <f>VLOOKUP($D49,Engines_all!$A$3:'Engines_all'!$V$843,14,FALSE)</f>
        <v>5.0094600000000003E-2</v>
      </c>
      <c r="U49" s="78">
        <f>VLOOKUP($D49,Engines_all!$A$3:'Engines_all'!$V$843,15,FALSE)</f>
        <v>1.5091017614401855E-3</v>
      </c>
      <c r="V49" s="222">
        <f>VLOOKUP($D49,Engines_all!$A$3:'Engines_all'!$V$843,16,FALSE)</f>
        <v>3252872410067432</v>
      </c>
      <c r="W49" s="77">
        <f t="shared" si="8"/>
        <v>6.3689999999999997E-3</v>
      </c>
      <c r="X49" s="78">
        <f>IF(E49="K",Q49*'Rest Calc'!B$16,Q49*'Rest Calc'!B$17)</f>
        <v>40.252079999999999</v>
      </c>
      <c r="Y49" s="76">
        <f>VLOOKUP($D49,Engines_all!$A$3:'Engines_all'!$V$843,17,FALSE)</f>
        <v>1260</v>
      </c>
      <c r="Z49" s="76">
        <f>VLOOKUP($D49,Engines_all!$A$3:'Engines_all'!$V$843,18,FALSE)</f>
        <v>3.024</v>
      </c>
      <c r="AA49" s="76">
        <f>VLOOKUP($D49,Engines_all!$A$3:'Engines_all'!$V$843,19,FALSE)</f>
        <v>2.8727999999999998</v>
      </c>
      <c r="AB49" s="76">
        <f>VLOOKUP($D49,Engines_all!$A$3:'Engines_all'!$V$843,20,FALSE)</f>
        <v>40.446000000000005</v>
      </c>
      <c r="AC49" s="76">
        <f>VLOOKUP($D49,Engines_all!$A$3:'Engines_all'!$V$843,21,FALSE)</f>
        <v>8.7578630524813975E-2</v>
      </c>
      <c r="AD49" s="222">
        <f>VLOOKUP($D49,Engines_all!$A$3:'Engines_all'!$V$843,22,FALSE)</f>
        <v>462640865300072.5</v>
      </c>
      <c r="AE49" s="80">
        <f t="shared" si="9"/>
        <v>0.63</v>
      </c>
      <c r="AF49" s="79">
        <f>IF(E49="K",Y49*'Rest Calc'!B$16,Y49*'Rest Calc'!B$17)</f>
        <v>3981.6000000000004</v>
      </c>
      <c r="AG49" s="79">
        <f>IF(ALECA_Input!D$121="Standard",VLOOKUP($B49,$A$211:$J$218,6,FALSE),VLOOKUP($B49,$A$211:$J$218,10,FALSE))</f>
        <v>0</v>
      </c>
      <c r="AH49" s="163">
        <f>G49/2+80</f>
        <v>85.34</v>
      </c>
      <c r="AI49" s="75">
        <v>5</v>
      </c>
      <c r="AJ49" s="74"/>
      <c r="AK49" s="74"/>
      <c r="AL49" s="74"/>
    </row>
    <row r="50" spans="1:38" x14ac:dyDescent="0.25">
      <c r="A50" s="74" t="s">
        <v>229</v>
      </c>
      <c r="B50" s="75" t="s">
        <v>386</v>
      </c>
      <c r="C50" s="74" t="s">
        <v>230</v>
      </c>
      <c r="D50" s="74" t="s">
        <v>230</v>
      </c>
      <c r="E50" s="75" t="s">
        <v>2936</v>
      </c>
      <c r="F50" s="136">
        <v>2</v>
      </c>
      <c r="G50" s="243">
        <f>VLOOKUP(D50,Engines_all!$A$3:$AZ$843,52,FALSE)</f>
        <v>0</v>
      </c>
      <c r="H50" s="74">
        <f>ALECA_Input!C74</f>
        <v>0</v>
      </c>
      <c r="I50" s="82">
        <f t="shared" si="0"/>
        <v>0</v>
      </c>
      <c r="J50" s="82">
        <f t="shared" si="1"/>
        <v>0</v>
      </c>
      <c r="K50" s="82">
        <f t="shared" si="2"/>
        <v>0</v>
      </c>
      <c r="L50" s="82">
        <f t="shared" si="3"/>
        <v>0</v>
      </c>
      <c r="M50" s="161">
        <f t="shared" si="4"/>
        <v>0</v>
      </c>
      <c r="N50" s="82">
        <f t="shared" si="5"/>
        <v>0</v>
      </c>
      <c r="O50" s="82">
        <f t="shared" si="6"/>
        <v>0</v>
      </c>
      <c r="P50" s="262">
        <f t="shared" si="7"/>
        <v>0</v>
      </c>
      <c r="Q50" s="76">
        <f>VLOOKUP($D50,Engines_all!$A$3:'Engines_all'!$V$843,11,FALSE)</f>
        <v>19.800000000000004</v>
      </c>
      <c r="R50" s="78">
        <f>VLOOKUP($D50,Engines_all!$A$3:'Engines_all'!$V$843,12,FALSE)</f>
        <v>0.11902800000000002</v>
      </c>
      <c r="S50" s="78">
        <f>VLOOKUP($D50,Engines_all!$A$3:'Engines_all'!$V$843,13,FALSE)</f>
        <v>0</v>
      </c>
      <c r="T50" s="78">
        <f>VLOOKUP($D50,Engines_all!$A$3:'Engines_all'!$V$843,14,FALSE)</f>
        <v>8.4390000000000021E-2</v>
      </c>
      <c r="U50" s="78">
        <f>VLOOKUP($D50,Engines_all!$A$3:'Engines_all'!$V$843,15,FALSE)</f>
        <v>6.269628000000001E-3</v>
      </c>
      <c r="V50" s="222">
        <f>VLOOKUP($D50,Engines_all!$A$3:'Engines_all'!$V$843,16,FALSE)</f>
        <v>1.4423063223850528E+17</v>
      </c>
      <c r="W50" s="77">
        <f t="shared" si="8"/>
        <v>9.9000000000000025E-3</v>
      </c>
      <c r="X50" s="78">
        <f>IF(E50="K",Q50*'Rest Calc'!B$16,Q50*'Rest Calc'!B$17)</f>
        <v>62.568000000000019</v>
      </c>
      <c r="Y50" s="76">
        <f>VLOOKUP($D50,Engines_all!$A$3:'Engines_all'!$V$843,17,FALSE)</f>
        <v>707.02596436461602</v>
      </c>
      <c r="Z50" s="76">
        <f>VLOOKUP($D50,Engines_all!$A$3:'Engines_all'!$V$843,18,FALSE)</f>
        <v>1.5274285714285769</v>
      </c>
      <c r="AA50" s="76">
        <f>VLOOKUP($D50,Engines_all!$A$3:'Engines_all'!$V$843,19,FALSE)</f>
        <v>12.312551347005261</v>
      </c>
      <c r="AB50" s="76">
        <f>VLOOKUP($D50,Engines_all!$A$3:'Engines_all'!$V$843,20,FALSE)</f>
        <v>54.229924523949201</v>
      </c>
      <c r="AC50" s="76">
        <f>VLOOKUP($D50,Engines_all!$A$3:'Engines_all'!$V$843,21,FALSE)</f>
        <v>0.23360695082575722</v>
      </c>
      <c r="AD50" s="222">
        <f>VLOOKUP($D50,Engines_all!$A$3:'Engines_all'!$V$843,22,FALSE)</f>
        <v>6971614194389966</v>
      </c>
      <c r="AE50" s="80">
        <f t="shared" si="9"/>
        <v>0.35351298218230803</v>
      </c>
      <c r="AF50" s="79">
        <f>IF(E50="K",Y50*'Rest Calc'!B$16,Y50*'Rest Calc'!B$17)</f>
        <v>2234.2020473921866</v>
      </c>
      <c r="AG50" s="79">
        <f>IF(ALECA_Input!D$121="Standard",VLOOKUP($B50,$A$211:$J$218,6,FALSE),VLOOKUP($B50,$A$211:$J$218,10,FALSE))</f>
        <v>0</v>
      </c>
      <c r="AH50" s="163">
        <v>180</v>
      </c>
      <c r="AI50" s="75">
        <v>6</v>
      </c>
      <c r="AJ50" s="74"/>
      <c r="AK50" s="74"/>
      <c r="AL50" s="74"/>
    </row>
    <row r="51" spans="1:38" x14ac:dyDescent="0.25">
      <c r="A51" s="74" t="s">
        <v>231</v>
      </c>
      <c r="B51" s="75" t="s">
        <v>386</v>
      </c>
      <c r="C51" s="74" t="s">
        <v>232</v>
      </c>
      <c r="D51" s="74" t="s">
        <v>232</v>
      </c>
      <c r="E51" s="75" t="s">
        <v>2936</v>
      </c>
      <c r="F51" s="136">
        <v>2</v>
      </c>
      <c r="G51" s="243">
        <f>VLOOKUP(D51,Engines_all!$A$3:$AZ$843,52,FALSE)</f>
        <v>0</v>
      </c>
      <c r="H51" s="74">
        <f>ALECA_Input!C75</f>
        <v>0</v>
      </c>
      <c r="I51" s="82">
        <f t="shared" si="0"/>
        <v>0</v>
      </c>
      <c r="J51" s="82">
        <f t="shared" si="1"/>
        <v>0</v>
      </c>
      <c r="K51" s="82">
        <f t="shared" si="2"/>
        <v>0</v>
      </c>
      <c r="L51" s="82">
        <f t="shared" si="3"/>
        <v>0</v>
      </c>
      <c r="M51" s="161">
        <f t="shared" si="4"/>
        <v>0</v>
      </c>
      <c r="N51" s="82">
        <f t="shared" si="5"/>
        <v>0</v>
      </c>
      <c r="O51" s="82">
        <f t="shared" si="6"/>
        <v>0</v>
      </c>
      <c r="P51" s="262">
        <f t="shared" si="7"/>
        <v>0</v>
      </c>
      <c r="Q51" s="76">
        <f>VLOOKUP($D51,Engines_all!$A$3:'Engines_all'!$V$843,11,FALSE)</f>
        <v>22.98</v>
      </c>
      <c r="R51" s="78">
        <f>VLOOKUP($D51,Engines_all!$A$3:'Engines_all'!$V$843,12,FALSE)</f>
        <v>0.12215700000000002</v>
      </c>
      <c r="S51" s="78">
        <f>VLOOKUP($D51,Engines_all!$A$3:'Engines_all'!$V$843,13,FALSE)</f>
        <v>5.2649999999999997E-3</v>
      </c>
      <c r="T51" s="78">
        <f>VLOOKUP($D51,Engines_all!$A$3:'Engines_all'!$V$843,14,FALSE)</f>
        <v>0.26022300000000004</v>
      </c>
      <c r="U51" s="78">
        <f>VLOOKUP($D51,Engines_all!$A$3:'Engines_all'!$V$843,15,FALSE)</f>
        <v>8.1463270500000007E-3</v>
      </c>
      <c r="V51" s="222">
        <f>VLOOKUP($D51,Engines_all!$A$3:'Engines_all'!$V$843,16,FALSE)</f>
        <v>1.7919613145475626E+17</v>
      </c>
      <c r="W51" s="77">
        <f t="shared" si="8"/>
        <v>1.149E-2</v>
      </c>
      <c r="X51" s="78">
        <f>IF(E51="K",Q51*'Rest Calc'!B$16,Q51*'Rest Calc'!B$17)</f>
        <v>72.616799999999998</v>
      </c>
      <c r="Y51" s="76">
        <f>VLOOKUP($D51,Engines_all!$A$3:'Engines_all'!$V$843,17,FALSE)</f>
        <v>824.86362509205003</v>
      </c>
      <c r="Z51" s="76">
        <f>VLOOKUP($D51,Engines_all!$A$3:'Engines_all'!$V$843,18,FALSE)</f>
        <v>1.6739999999999982</v>
      </c>
      <c r="AA51" s="76">
        <f>VLOOKUP($D51,Engines_all!$A$3:'Engines_all'!$V$843,19,FALSE)</f>
        <v>21.204949542064551</v>
      </c>
      <c r="AB51" s="76">
        <f>VLOOKUP($D51,Engines_all!$A$3:'Engines_all'!$V$843,20,FALSE)</f>
        <v>126.81298586636011</v>
      </c>
      <c r="AC51" s="76">
        <f>VLOOKUP($D51,Engines_all!$A$3:'Engines_all'!$V$843,21,FALSE)</f>
        <v>0.3172207234003383</v>
      </c>
      <c r="AD51" s="222">
        <f>VLOOKUP($D51,Engines_all!$A$3:'Engines_all'!$V$843,22,FALSE)</f>
        <v>8273783512307611</v>
      </c>
      <c r="AE51" s="80">
        <f t="shared" si="9"/>
        <v>0.41243181254602501</v>
      </c>
      <c r="AF51" s="79">
        <f>IF(E51="K",Y51*'Rest Calc'!B$16,Y51*'Rest Calc'!B$17)</f>
        <v>2606.5690552908782</v>
      </c>
      <c r="AG51" s="79">
        <f>IF(ALECA_Input!D$121="Standard",VLOOKUP($B51,$A$211:$J$218,6,FALSE),VLOOKUP($B51,$A$211:$J$218,10,FALSE))</f>
        <v>0</v>
      </c>
      <c r="AH51" s="163">
        <v>180</v>
      </c>
      <c r="AI51" s="75">
        <v>6</v>
      </c>
      <c r="AJ51" s="74"/>
      <c r="AK51" s="74"/>
      <c r="AL51" s="74"/>
    </row>
    <row r="52" spans="1:38" x14ac:dyDescent="0.25">
      <c r="A52" s="74" t="s">
        <v>233</v>
      </c>
      <c r="B52" s="75" t="s">
        <v>386</v>
      </c>
      <c r="C52" s="74" t="s">
        <v>234</v>
      </c>
      <c r="D52" s="74" t="s">
        <v>234</v>
      </c>
      <c r="E52" s="75" t="s">
        <v>2936</v>
      </c>
      <c r="F52" s="136">
        <v>1</v>
      </c>
      <c r="G52" s="243">
        <f>VLOOKUP(D52,Engines_all!$A$3:$AZ$843,52,FALSE)</f>
        <v>0</v>
      </c>
      <c r="H52" s="74">
        <f>ALECA_Input!C76</f>
        <v>0</v>
      </c>
      <c r="I52" s="82">
        <f t="shared" ref="I52:I94" si="124">$H52/2*$F52*(R52+(Z52*$AG52/1000))</f>
        <v>0</v>
      </c>
      <c r="J52" s="82">
        <f t="shared" ref="J52:J94" si="125">$H52/2*$F52*(S52+(AA52*$AG52/1000))</f>
        <v>0</v>
      </c>
      <c r="K52" s="82">
        <f t="shared" ref="K52:K94" si="126">$H52/2*$F52*(T52+(AB52*$AG52/1000))</f>
        <v>0</v>
      </c>
      <c r="L52" s="82">
        <f t="shared" ref="L52:L94" si="127">$H52/2*$F52*(U52+(AC52*$AG52/1000))</f>
        <v>0</v>
      </c>
      <c r="M52" s="161">
        <f t="shared" ref="M52:M94" si="128">H52/2*$F52*(V52+AD52*AG52)</f>
        <v>0</v>
      </c>
      <c r="N52" s="82">
        <f t="shared" ref="N52:N94" si="129">$H52/2*$F52*(W52+(AE52*$AG52/1000))</f>
        <v>0</v>
      </c>
      <c r="O52" s="82">
        <f t="shared" ref="O52:O94" si="130">$H52/2*$F52*(X52+(AF52*$AG52/1000))</f>
        <v>0</v>
      </c>
      <c r="P52" s="262">
        <f t="shared" ref="P52:P94" si="131">F52*H52/2*AH52/1000</f>
        <v>0</v>
      </c>
      <c r="Q52" s="76">
        <f>VLOOKUP($D52,Engines_all!$A$3:'Engines_all'!$V$843,11,FALSE)</f>
        <v>24.9</v>
      </c>
      <c r="R52" s="78">
        <f>VLOOKUP($D52,Engines_all!$A$3:'Engines_all'!$V$843,12,FALSE)</f>
        <v>0.13766399999999998</v>
      </c>
      <c r="S52" s="78">
        <f>VLOOKUP($D52,Engines_all!$A$3:'Engines_all'!$V$843,13,FALSE)</f>
        <v>5.1450000000000003E-2</v>
      </c>
      <c r="T52" s="78">
        <f>VLOOKUP($D52,Engines_all!$A$3:'Engines_all'!$V$843,14,FALSE)</f>
        <v>0.35814000000000001</v>
      </c>
      <c r="U52" s="78">
        <f>VLOOKUP($D52,Engines_all!$A$3:'Engines_all'!$V$843,15,FALSE)</f>
        <v>1.1663415E-2</v>
      </c>
      <c r="V52" s="222">
        <f>VLOOKUP($D52,Engines_all!$A$3:'Engines_all'!$V$843,16,FALSE)</f>
        <v>1.9699042688349795E+17</v>
      </c>
      <c r="W52" s="77">
        <f t="shared" ref="W52:W94" si="132">Q52*0.0005</f>
        <v>1.2449999999999999E-2</v>
      </c>
      <c r="X52" s="78">
        <f>IF(E52="K",Q52*'Rest Calc'!B$16,Q52*'Rest Calc'!B$17)</f>
        <v>78.683999999999997</v>
      </c>
      <c r="Y52" s="76">
        <f>VLOOKUP($D52,Engines_all!$A$3:'Engines_all'!$V$843,17,FALSE)</f>
        <v>942.70128581948995</v>
      </c>
      <c r="Z52" s="76">
        <f>VLOOKUP($D52,Engines_all!$A$3:'Engines_all'!$V$843,18,FALSE)</f>
        <v>1.666285714285721</v>
      </c>
      <c r="AA52" s="76">
        <f>VLOOKUP($D52,Engines_all!$A$3:'Engines_all'!$V$843,19,FALSE)</f>
        <v>65.350945876813967</v>
      </c>
      <c r="AB52" s="76">
        <f>VLOOKUP($D52,Engines_all!$A$3:'Engines_all'!$V$843,20,FALSE)</f>
        <v>183.05213275744688</v>
      </c>
      <c r="AC52" s="76">
        <f>VLOOKUP($D52,Engines_all!$A$3:'Engines_all'!$V$843,21,FALSE)</f>
        <v>0.61622811860371385</v>
      </c>
      <c r="AD52" s="222">
        <f>VLOOKUP($D52,Engines_all!$A$3:'Engines_all'!$V$843,22,FALSE)</f>
        <v>9455752585494454</v>
      </c>
      <c r="AE52" s="80">
        <f t="shared" ref="AE52:AE94" si="133">Y52*0.0005</f>
        <v>0.47135064290974499</v>
      </c>
      <c r="AF52" s="79">
        <f>IF(E52="K",Y52*'Rest Calc'!B$16,Y52*'Rest Calc'!B$17)</f>
        <v>2978.9360631895884</v>
      </c>
      <c r="AG52" s="79">
        <f>IF(ALECA_Input!D$121="Standard",VLOOKUP($B52,$A$211:$J$218,6,FALSE),VLOOKUP($B52,$A$211:$J$218,10,FALSE))</f>
        <v>0</v>
      </c>
      <c r="AH52" s="163">
        <v>180</v>
      </c>
      <c r="AI52" s="75">
        <v>6</v>
      </c>
      <c r="AJ52" s="74"/>
      <c r="AK52" s="74"/>
      <c r="AL52" s="74"/>
    </row>
    <row r="53" spans="1:38" x14ac:dyDescent="0.25">
      <c r="A53" s="74" t="s">
        <v>235</v>
      </c>
      <c r="B53" s="75" t="s">
        <v>384</v>
      </c>
      <c r="C53" s="74" t="s">
        <v>236</v>
      </c>
      <c r="D53" s="74" t="s">
        <v>938</v>
      </c>
      <c r="E53" s="75" t="s">
        <v>2936</v>
      </c>
      <c r="F53" s="136">
        <v>1</v>
      </c>
      <c r="G53" s="243">
        <f>VLOOKUP(D53,Engines_all!$A$3:$AZ$843,52,FALSE)</f>
        <v>0</v>
      </c>
      <c r="H53" s="74">
        <f>ALECA_Input!C77</f>
        <v>0</v>
      </c>
      <c r="I53" s="82">
        <f t="shared" si="124"/>
        <v>0</v>
      </c>
      <c r="J53" s="82">
        <f t="shared" si="125"/>
        <v>0</v>
      </c>
      <c r="K53" s="82">
        <f t="shared" si="126"/>
        <v>0</v>
      </c>
      <c r="L53" s="82">
        <f t="shared" si="127"/>
        <v>0</v>
      </c>
      <c r="M53" s="161">
        <f t="shared" si="128"/>
        <v>0</v>
      </c>
      <c r="N53" s="82">
        <f t="shared" si="129"/>
        <v>0</v>
      </c>
      <c r="O53" s="82">
        <f t="shared" si="130"/>
        <v>0</v>
      </c>
      <c r="P53" s="262">
        <f t="shared" si="131"/>
        <v>0</v>
      </c>
      <c r="Q53" s="76">
        <f>VLOOKUP($D53,Engines_all!$A$3:'Engines_all'!$V$843,11,FALSE)</f>
        <v>14.135999999999999</v>
      </c>
      <c r="R53" s="78">
        <f>VLOOKUP($D53,Engines_all!$A$3:'Engines_all'!$V$843,12,FALSE)</f>
        <v>6.9966E-2</v>
      </c>
      <c r="S53" s="78">
        <f>VLOOKUP($D53,Engines_all!$A$3:'Engines_all'!$V$843,13,FALSE)</f>
        <v>0.14532035999999998</v>
      </c>
      <c r="T53" s="78">
        <f>VLOOKUP($D53,Engines_all!$A$3:'Engines_all'!$V$843,14,FALSE)</f>
        <v>0.18297659999999996</v>
      </c>
      <c r="U53" s="78">
        <f>VLOOKUP($D53,Engines_all!$A$3:'Engines_all'!$V$843,15,FALSE)</f>
        <v>1.2669401744999999E-2</v>
      </c>
      <c r="V53" s="222">
        <f>VLOOKUP($D53,Engines_all!$A$3:'Engines_all'!$V$843,16,FALSE)</f>
        <v>5.165082E+17</v>
      </c>
      <c r="W53" s="77">
        <f t="shared" si="132"/>
        <v>7.0679999999999996E-3</v>
      </c>
      <c r="X53" s="78">
        <f>IF(E53="K",Q53*'Rest Calc'!B$16,Q53*'Rest Calc'!B$17)</f>
        <v>44.669759999999997</v>
      </c>
      <c r="Y53" s="76">
        <f>VLOOKUP($D53,Engines_all!$A$3:'Engines_all'!$V$843,17,FALSE)</f>
        <v>882</v>
      </c>
      <c r="Z53" s="76">
        <f>VLOOKUP($D53,Engines_all!$A$3:'Engines_all'!$V$843,18,FALSE)</f>
        <v>1.764</v>
      </c>
      <c r="AA53" s="76">
        <f>VLOOKUP($D53,Engines_all!$A$3:'Engines_all'!$V$843,19,FALSE)</f>
        <v>44.779140000000005</v>
      </c>
      <c r="AB53" s="76">
        <f>VLOOKUP($D53,Engines_all!$A$3:'Engines_all'!$V$843,20,FALSE)</f>
        <v>58.9176</v>
      </c>
      <c r="AC53" s="76">
        <f>VLOOKUP($D53,Engines_all!$A$3:'Engines_all'!$V$843,21,FALSE)</f>
        <v>0.47558401380000004</v>
      </c>
      <c r="AD53" s="222">
        <f>VLOOKUP($D53,Engines_all!$A$3:'Engines_all'!$V$843,22,FALSE)</f>
        <v>9.32274E+16</v>
      </c>
      <c r="AE53" s="80">
        <f t="shared" si="133"/>
        <v>0.441</v>
      </c>
      <c r="AF53" s="79">
        <f>IF(E53="K",Y53*'Rest Calc'!B$16,Y53*'Rest Calc'!B$17)</f>
        <v>2787.1200000000003</v>
      </c>
      <c r="AG53" s="79">
        <f>IF(ALECA_Input!D$121="Standard",VLOOKUP($B53,$A$211:$J$218,6,FALSE),VLOOKUP($B53,$A$211:$J$218,10,FALSE))</f>
        <v>5</v>
      </c>
      <c r="AH53" s="163">
        <v>90</v>
      </c>
      <c r="AI53" s="75">
        <v>8</v>
      </c>
      <c r="AJ53" s="74"/>
      <c r="AK53" s="74"/>
      <c r="AL53" s="74"/>
    </row>
    <row r="54" spans="1:38" x14ac:dyDescent="0.25">
      <c r="A54" s="74" t="s">
        <v>237</v>
      </c>
      <c r="B54" s="75" t="s">
        <v>384</v>
      </c>
      <c r="C54" s="74" t="s">
        <v>238</v>
      </c>
      <c r="D54" s="74" t="s">
        <v>947</v>
      </c>
      <c r="E54" s="75" t="s">
        <v>2936</v>
      </c>
      <c r="F54" s="136">
        <v>2</v>
      </c>
      <c r="G54" s="243">
        <f>VLOOKUP(D54,Engines_all!$A$3:$AZ$843,52,FALSE)</f>
        <v>0</v>
      </c>
      <c r="H54" s="74">
        <f>ALECA_Input!C78</f>
        <v>0</v>
      </c>
      <c r="I54" s="82">
        <f t="shared" si="124"/>
        <v>0</v>
      </c>
      <c r="J54" s="82">
        <f t="shared" si="125"/>
        <v>0</v>
      </c>
      <c r="K54" s="82">
        <f t="shared" si="126"/>
        <v>0</v>
      </c>
      <c r="L54" s="82">
        <f t="shared" si="127"/>
        <v>0</v>
      </c>
      <c r="M54" s="161">
        <f t="shared" si="128"/>
        <v>0</v>
      </c>
      <c r="N54" s="82">
        <f t="shared" si="129"/>
        <v>0</v>
      </c>
      <c r="O54" s="82">
        <f t="shared" si="130"/>
        <v>0</v>
      </c>
      <c r="P54" s="262">
        <f t="shared" si="131"/>
        <v>0</v>
      </c>
      <c r="Q54" s="76">
        <f>VLOOKUP($D54,Engines_all!$A$3:'Engines_all'!$V$843,11,FALSE)</f>
        <v>16.881</v>
      </c>
      <c r="R54" s="78">
        <f>VLOOKUP($D54,Engines_all!$A$3:'Engines_all'!$V$843,12,FALSE)</f>
        <v>9.9388799999999999E-2</v>
      </c>
      <c r="S54" s="78">
        <f>VLOOKUP($D54,Engines_all!$A$3:'Engines_all'!$V$843,13,FALSE)</f>
        <v>0.12835985999999999</v>
      </c>
      <c r="T54" s="78">
        <f>VLOOKUP($D54,Engines_all!$A$3:'Engines_all'!$V$843,14,FALSE)</f>
        <v>0.16033890000000001</v>
      </c>
      <c r="U54" s="78">
        <f>VLOOKUP($D54,Engines_all!$A$3:'Engines_all'!$V$843,15,FALSE)</f>
        <v>1.2736353165E-2</v>
      </c>
      <c r="V54" s="222">
        <f>VLOOKUP($D54,Engines_all!$A$3:'Engines_all'!$V$843,16,FALSE)</f>
        <v>8.8065575999999987E+17</v>
      </c>
      <c r="W54" s="77">
        <f t="shared" si="132"/>
        <v>8.4405000000000001E-3</v>
      </c>
      <c r="X54" s="78">
        <f>IF(E54="K",Q54*'Rest Calc'!B$16,Q54*'Rest Calc'!B$17)</f>
        <v>53.343960000000003</v>
      </c>
      <c r="Y54" s="76">
        <f>VLOOKUP($D54,Engines_all!$A$3:'Engines_all'!$V$843,17,FALSE)</f>
        <v>804</v>
      </c>
      <c r="Z54" s="76">
        <f>VLOOKUP($D54,Engines_all!$A$3:'Engines_all'!$V$843,18,FALSE)</f>
        <v>1.4472</v>
      </c>
      <c r="AA54" s="76">
        <f>VLOOKUP($D54,Engines_all!$A$3:'Engines_all'!$V$843,19,FALSE)</f>
        <v>49.703280000000007</v>
      </c>
      <c r="AB54" s="76">
        <f>VLOOKUP($D54,Engines_all!$A$3:'Engines_all'!$V$843,20,FALSE)</f>
        <v>65.686800000000005</v>
      </c>
      <c r="AC54" s="76">
        <f>VLOOKUP($D54,Engines_all!$A$3:'Engines_all'!$V$843,21,FALSE)</f>
        <v>0.48592907759999998</v>
      </c>
      <c r="AD54" s="222">
        <f>VLOOKUP($D54,Engines_all!$A$3:'Engines_all'!$V$843,22,FALSE)</f>
        <v>7.26012E+16</v>
      </c>
      <c r="AE54" s="80">
        <f t="shared" si="133"/>
        <v>0.40200000000000002</v>
      </c>
      <c r="AF54" s="79">
        <f>IF(E54="K",Y54*'Rest Calc'!B$16,Y54*'Rest Calc'!B$17)</f>
        <v>2540.6400000000003</v>
      </c>
      <c r="AG54" s="79">
        <f>IF(ALECA_Input!D$121="Standard",VLOOKUP($B54,$A$211:$J$218,6,FALSE),VLOOKUP($B54,$A$211:$J$218,10,FALSE))</f>
        <v>5</v>
      </c>
      <c r="AH54" s="163">
        <v>90</v>
      </c>
      <c r="AI54" s="75">
        <v>8</v>
      </c>
      <c r="AJ54" s="74"/>
      <c r="AK54" s="74"/>
      <c r="AL54" s="74"/>
    </row>
    <row r="55" spans="1:38" x14ac:dyDescent="0.25">
      <c r="A55" s="74" t="s">
        <v>239</v>
      </c>
      <c r="B55" s="75" t="s">
        <v>384</v>
      </c>
      <c r="C55" s="74" t="s">
        <v>240</v>
      </c>
      <c r="D55" s="74" t="s">
        <v>949</v>
      </c>
      <c r="E55" s="75" t="s">
        <v>2936</v>
      </c>
      <c r="F55" s="136">
        <v>1</v>
      </c>
      <c r="G55" s="243">
        <f>VLOOKUP(D55,Engines_all!$A$3:$AZ$843,52,FALSE)</f>
        <v>0</v>
      </c>
      <c r="H55" s="74">
        <f>ALECA_Input!C79</f>
        <v>0</v>
      </c>
      <c r="I55" s="82">
        <f t="shared" si="124"/>
        <v>0</v>
      </c>
      <c r="J55" s="82">
        <f t="shared" si="125"/>
        <v>0</v>
      </c>
      <c r="K55" s="82">
        <f t="shared" si="126"/>
        <v>0</v>
      </c>
      <c r="L55" s="82">
        <f t="shared" si="127"/>
        <v>0</v>
      </c>
      <c r="M55" s="161">
        <f t="shared" si="128"/>
        <v>0</v>
      </c>
      <c r="N55" s="82">
        <f t="shared" si="129"/>
        <v>0</v>
      </c>
      <c r="O55" s="82">
        <f t="shared" si="130"/>
        <v>0</v>
      </c>
      <c r="P55" s="262">
        <f t="shared" si="131"/>
        <v>0</v>
      </c>
      <c r="Q55" s="76">
        <f>VLOOKUP($D55,Engines_all!$A$3:'Engines_all'!$V$843,11,FALSE)</f>
        <v>17.715</v>
      </c>
      <c r="R55" s="78">
        <f>VLOOKUP($D55,Engines_all!$A$3:'Engines_all'!$V$843,12,FALSE)</f>
        <v>0.11075129999999998</v>
      </c>
      <c r="S55" s="78">
        <f>VLOOKUP($D55,Engines_all!$A$3:'Engines_all'!$V$843,13,FALSE)</f>
        <v>0.12091923</v>
      </c>
      <c r="T55" s="78">
        <f>VLOOKUP($D55,Engines_all!$A$3:'Engines_all'!$V$843,14,FALSE)</f>
        <v>0.15053519999999998</v>
      </c>
      <c r="U55" s="78">
        <f>VLOOKUP($D55,Engines_all!$A$3:'Engines_all'!$V$843,15,FALSE)</f>
        <v>1.27023904275E-2</v>
      </c>
      <c r="V55" s="222">
        <f>VLOOKUP($D55,Engines_all!$A$3:'Engines_all'!$V$843,16,FALSE)</f>
        <v>9.4237847999999987E+17</v>
      </c>
      <c r="W55" s="77">
        <f t="shared" si="132"/>
        <v>8.8575000000000008E-3</v>
      </c>
      <c r="X55" s="78">
        <f>IF(E55="K",Q55*'Rest Calc'!B$16,Q55*'Rest Calc'!B$17)</f>
        <v>55.979400000000005</v>
      </c>
      <c r="Y55" s="76">
        <f>VLOOKUP($D55,Engines_all!$A$3:'Engines_all'!$V$843,17,FALSE)</f>
        <v>840</v>
      </c>
      <c r="Z55" s="76">
        <f>VLOOKUP($D55,Engines_all!$A$3:'Engines_all'!$V$843,18,FALSE)</f>
        <v>1.5959999999999999</v>
      </c>
      <c r="AA55" s="76">
        <f>VLOOKUP($D55,Engines_all!$A$3:'Engines_all'!$V$843,19,FALSE)</f>
        <v>46.846800000000002</v>
      </c>
      <c r="AB55" s="76">
        <f>VLOOKUP($D55,Engines_all!$A$3:'Engines_all'!$V$843,20,FALSE)</f>
        <v>61.739999999999995</v>
      </c>
      <c r="AC55" s="76">
        <f>VLOOKUP($D55,Engines_all!$A$3:'Engines_all'!$V$843,21,FALSE)</f>
        <v>0.47759115600000002</v>
      </c>
      <c r="AD55" s="222">
        <f>VLOOKUP($D55,Engines_all!$A$3:'Engines_all'!$V$843,22,FALSE)</f>
        <v>7.644E+16</v>
      </c>
      <c r="AE55" s="80">
        <f t="shared" si="133"/>
        <v>0.42</v>
      </c>
      <c r="AF55" s="79">
        <f>IF(E55="K",Y55*'Rest Calc'!B$16,Y55*'Rest Calc'!B$17)</f>
        <v>2654.4</v>
      </c>
      <c r="AG55" s="79">
        <f>IF(ALECA_Input!D$121="Standard",VLOOKUP($B55,$A$211:$J$218,6,FALSE),VLOOKUP($B55,$A$211:$J$218,10,FALSE))</f>
        <v>5</v>
      </c>
      <c r="AH55" s="163">
        <v>90</v>
      </c>
      <c r="AI55" s="75">
        <v>8</v>
      </c>
      <c r="AJ55" s="74"/>
      <c r="AK55" s="74"/>
      <c r="AL55" s="74"/>
    </row>
    <row r="56" spans="1:38" x14ac:dyDescent="0.25">
      <c r="A56" s="74" t="s">
        <v>241</v>
      </c>
      <c r="B56" s="75" t="s">
        <v>384</v>
      </c>
      <c r="C56" s="74" t="s">
        <v>242</v>
      </c>
      <c r="D56" s="74" t="s">
        <v>949</v>
      </c>
      <c r="E56" s="75" t="s">
        <v>2936</v>
      </c>
      <c r="F56" s="136">
        <v>2</v>
      </c>
      <c r="G56" s="243">
        <f>VLOOKUP(D56,Engines_all!$A$3:$AZ$843,52,FALSE)</f>
        <v>0</v>
      </c>
      <c r="H56" s="74">
        <f>ALECA_Input!C80</f>
        <v>0</v>
      </c>
      <c r="I56" s="82">
        <f t="shared" si="124"/>
        <v>0</v>
      </c>
      <c r="J56" s="82">
        <f t="shared" si="125"/>
        <v>0</v>
      </c>
      <c r="K56" s="82">
        <f t="shared" si="126"/>
        <v>0</v>
      </c>
      <c r="L56" s="82">
        <f t="shared" si="127"/>
        <v>0</v>
      </c>
      <c r="M56" s="161">
        <f t="shared" si="128"/>
        <v>0</v>
      </c>
      <c r="N56" s="82">
        <f t="shared" si="129"/>
        <v>0</v>
      </c>
      <c r="O56" s="82">
        <f t="shared" si="130"/>
        <v>0</v>
      </c>
      <c r="P56" s="262">
        <f t="shared" si="131"/>
        <v>0</v>
      </c>
      <c r="Q56" s="76">
        <f>VLOOKUP($D56,Engines_all!$A$3:'Engines_all'!$V$843,11,FALSE)</f>
        <v>17.715</v>
      </c>
      <c r="R56" s="78">
        <f>VLOOKUP($D56,Engines_all!$A$3:'Engines_all'!$V$843,12,FALSE)</f>
        <v>0.11075129999999998</v>
      </c>
      <c r="S56" s="78">
        <f>VLOOKUP($D56,Engines_all!$A$3:'Engines_all'!$V$843,13,FALSE)</f>
        <v>0.12091923</v>
      </c>
      <c r="T56" s="78">
        <f>VLOOKUP($D56,Engines_all!$A$3:'Engines_all'!$V$843,14,FALSE)</f>
        <v>0.15053519999999998</v>
      </c>
      <c r="U56" s="78">
        <f>VLOOKUP($D56,Engines_all!$A$3:'Engines_all'!$V$843,15,FALSE)</f>
        <v>1.27023904275E-2</v>
      </c>
      <c r="V56" s="222">
        <f>VLOOKUP($D56,Engines_all!$A$3:'Engines_all'!$V$843,16,FALSE)</f>
        <v>9.4237847999999987E+17</v>
      </c>
      <c r="W56" s="77">
        <f t="shared" si="132"/>
        <v>8.8575000000000008E-3</v>
      </c>
      <c r="X56" s="78">
        <f>IF(E56="K",Q56*'Rest Calc'!B$16,Q56*'Rest Calc'!B$17)</f>
        <v>55.979400000000005</v>
      </c>
      <c r="Y56" s="76">
        <f>VLOOKUP($D56,Engines_all!$A$3:'Engines_all'!$V$843,17,FALSE)</f>
        <v>840</v>
      </c>
      <c r="Z56" s="76">
        <f>VLOOKUP($D56,Engines_all!$A$3:'Engines_all'!$V$843,18,FALSE)</f>
        <v>1.5959999999999999</v>
      </c>
      <c r="AA56" s="76">
        <f>VLOOKUP($D56,Engines_all!$A$3:'Engines_all'!$V$843,19,FALSE)</f>
        <v>46.846800000000002</v>
      </c>
      <c r="AB56" s="76">
        <f>VLOOKUP($D56,Engines_all!$A$3:'Engines_all'!$V$843,20,FALSE)</f>
        <v>61.739999999999995</v>
      </c>
      <c r="AC56" s="76">
        <f>VLOOKUP($D56,Engines_all!$A$3:'Engines_all'!$V$843,21,FALSE)</f>
        <v>0.47759115600000002</v>
      </c>
      <c r="AD56" s="222">
        <f>VLOOKUP($D56,Engines_all!$A$3:'Engines_all'!$V$843,22,FALSE)</f>
        <v>7.644E+16</v>
      </c>
      <c r="AE56" s="80">
        <f t="shared" si="133"/>
        <v>0.42</v>
      </c>
      <c r="AF56" s="79">
        <f>IF(E56="K",Y56*'Rest Calc'!B$16,Y56*'Rest Calc'!B$17)</f>
        <v>2654.4</v>
      </c>
      <c r="AG56" s="79">
        <f>IF(ALECA_Input!D$121="Standard",VLOOKUP($B56,$A$211:$J$218,6,FALSE),VLOOKUP($B56,$A$211:$J$218,10,FALSE))</f>
        <v>5</v>
      </c>
      <c r="AH56" s="163">
        <v>90</v>
      </c>
      <c r="AI56" s="75">
        <v>8</v>
      </c>
      <c r="AJ56" s="74"/>
      <c r="AK56" s="74"/>
      <c r="AL56" s="74"/>
    </row>
    <row r="57" spans="1:38" x14ac:dyDescent="0.25">
      <c r="A57" s="74" t="s">
        <v>243</v>
      </c>
      <c r="B57" s="75" t="s">
        <v>384</v>
      </c>
      <c r="C57" s="74" t="s">
        <v>244</v>
      </c>
      <c r="D57" s="74" t="s">
        <v>865</v>
      </c>
      <c r="E57" s="75" t="s">
        <v>2936</v>
      </c>
      <c r="F57" s="136">
        <v>1</v>
      </c>
      <c r="G57" s="243">
        <f>VLOOKUP(D57,Engines_all!$A$3:$AZ$843,52,FALSE)</f>
        <v>0</v>
      </c>
      <c r="H57" s="74">
        <f>ALECA_Input!C81</f>
        <v>0</v>
      </c>
      <c r="I57" s="82">
        <f t="shared" si="124"/>
        <v>0</v>
      </c>
      <c r="J57" s="82">
        <f t="shared" si="125"/>
        <v>0</v>
      </c>
      <c r="K57" s="82">
        <f t="shared" si="126"/>
        <v>0</v>
      </c>
      <c r="L57" s="82">
        <f t="shared" si="127"/>
        <v>0</v>
      </c>
      <c r="M57" s="161">
        <f t="shared" si="128"/>
        <v>0</v>
      </c>
      <c r="N57" s="82">
        <f t="shared" si="129"/>
        <v>0</v>
      </c>
      <c r="O57" s="82">
        <f t="shared" si="130"/>
        <v>0</v>
      </c>
      <c r="P57" s="262">
        <f t="shared" si="131"/>
        <v>0</v>
      </c>
      <c r="Q57" s="76">
        <f>VLOOKUP($D57,Engines_all!$A$3:'Engines_all'!$V$843,11,FALSE)</f>
        <v>30.287548350000002</v>
      </c>
      <c r="R57" s="78">
        <f>VLOOKUP($D57,Engines_all!$A$3:'Engines_all'!$V$843,12,FALSE)</f>
        <v>0.27835084228500001</v>
      </c>
      <c r="S57" s="78">
        <f>VLOOKUP($D57,Engines_all!$A$3:'Engines_all'!$V$843,13,FALSE)</f>
        <v>9.8846311823999999E-2</v>
      </c>
      <c r="T57" s="78">
        <f>VLOOKUP($D57,Engines_all!$A$3:'Engines_all'!$V$843,14,FALSE)</f>
        <v>0.12145472572499999</v>
      </c>
      <c r="U57" s="78">
        <f>VLOOKUP($D57,Engines_all!$A$3:'Engines_all'!$V$843,15,FALSE)</f>
        <v>1.7718227056338753E-2</v>
      </c>
      <c r="V57" s="222">
        <f>VLOOKUP($D57,Engines_all!$A$3:'Engines_all'!$V$843,16,FALSE)</f>
        <v>2.6695499285013478E+18</v>
      </c>
      <c r="W57" s="77">
        <f t="shared" si="132"/>
        <v>1.5143774175000001E-2</v>
      </c>
      <c r="X57" s="78">
        <f>IF(E57="K",Q57*'Rest Calc'!B$16,Q57*'Rest Calc'!B$17)</f>
        <v>95.708652786000016</v>
      </c>
      <c r="Y57" s="76">
        <f>VLOOKUP($D57,Engines_all!$A$3:'Engines_all'!$V$843,17,FALSE)</f>
        <v>1378.6917599999999</v>
      </c>
      <c r="Z57" s="76">
        <f>VLOOKUP($D57,Engines_all!$A$3:'Engines_all'!$V$843,18,FALSE)</f>
        <v>3.9982061039999999</v>
      </c>
      <c r="AA57" s="76">
        <f>VLOOKUP($D57,Engines_all!$A$3:'Engines_all'!$V$843,19,FALSE)</f>
        <v>36.121724111999995</v>
      </c>
      <c r="AB57" s="76">
        <f>VLOOKUP($D57,Engines_all!$A$3:'Engines_all'!$V$843,20,FALSE)</f>
        <v>46.599781487999991</v>
      </c>
      <c r="AC57" s="76">
        <f>VLOOKUP($D57,Engines_all!$A$3:'Engines_all'!$V$843,21,FALSE)</f>
        <v>0.55714864190063995</v>
      </c>
      <c r="AD57" s="222">
        <f>VLOOKUP($D57,Engines_all!$A$3:'Engines_all'!$V$843,22,FALSE)</f>
        <v>1.34307877314744E+17</v>
      </c>
      <c r="AE57" s="80">
        <f t="shared" si="133"/>
        <v>0.68934587999999997</v>
      </c>
      <c r="AF57" s="79">
        <f>IF(E57="K",Y57*'Rest Calc'!B$16,Y57*'Rest Calc'!B$17)</f>
        <v>4356.6659615999997</v>
      </c>
      <c r="AG57" s="79">
        <f>IF(ALECA_Input!D$121="Standard",VLOOKUP($B57,$A$211:$J$218,6,FALSE),VLOOKUP($B57,$A$211:$J$218,10,FALSE))</f>
        <v>5</v>
      </c>
      <c r="AH57" s="163">
        <v>90</v>
      </c>
      <c r="AI57" s="75">
        <v>8</v>
      </c>
      <c r="AJ57" s="74"/>
      <c r="AK57" s="74"/>
      <c r="AL57" s="74"/>
    </row>
    <row r="58" spans="1:38" x14ac:dyDescent="0.25">
      <c r="A58" s="397" t="s">
        <v>3482</v>
      </c>
      <c r="B58" s="75" t="s">
        <v>394</v>
      </c>
      <c r="C58" s="74" t="s">
        <v>1095</v>
      </c>
      <c r="D58" s="74" t="s">
        <v>1098</v>
      </c>
      <c r="E58" s="75" t="s">
        <v>2936</v>
      </c>
      <c r="F58" s="136">
        <v>2</v>
      </c>
      <c r="G58" s="243">
        <f>VLOOKUP(D58,Engines_all!$A$3:$AZ$843,52,FALSE)</f>
        <v>82.29</v>
      </c>
      <c r="H58" s="74">
        <f>ALECA_Input!C51</f>
        <v>0</v>
      </c>
      <c r="I58" s="82">
        <f t="shared" si="124"/>
        <v>0</v>
      </c>
      <c r="J58" s="82">
        <f t="shared" si="125"/>
        <v>0</v>
      </c>
      <c r="K58" s="82">
        <f t="shared" si="126"/>
        <v>0</v>
      </c>
      <c r="L58" s="82">
        <f t="shared" si="127"/>
        <v>0</v>
      </c>
      <c r="M58" s="161">
        <f t="shared" si="128"/>
        <v>0</v>
      </c>
      <c r="N58" s="82">
        <f t="shared" si="129"/>
        <v>0</v>
      </c>
      <c r="O58" s="82">
        <f t="shared" si="130"/>
        <v>0</v>
      </c>
      <c r="P58" s="262">
        <f t="shared" si="131"/>
        <v>0</v>
      </c>
      <c r="Q58" s="76">
        <f>VLOOKUP($D58,Engines_all!$A$3:'Engines_all'!$V$843,11,FALSE)</f>
        <v>198.768</v>
      </c>
      <c r="R58" s="78">
        <f>VLOOKUP($D58,Engines_all!$A$3:'Engines_all'!$V$843,12,FALSE)</f>
        <v>2.5524912000000004</v>
      </c>
      <c r="S58" s="78">
        <f>VLOOKUP($D58,Engines_all!$A$3:'Engines_all'!$V$843,13,FALSE)</f>
        <v>1.1904000000000001E-2</v>
      </c>
      <c r="T58" s="78">
        <f>VLOOKUP($D58,Engines_all!$A$3:'Engines_all'!$V$843,14,FALSE)</f>
        <v>0.40476960000000006</v>
      </c>
      <c r="U58" s="78">
        <f>VLOOKUP($D58,Engines_all!$A$3:'Engines_all'!$V$843,15,FALSE)</f>
        <v>1.4146487373702346E-2</v>
      </c>
      <c r="V58" s="222">
        <f>VLOOKUP($D58,Engines_all!$A$3:'Engines_all'!$V$843,16,FALSE)</f>
        <v>9.1116151019993184E+16</v>
      </c>
      <c r="W58" s="77">
        <f t="shared" si="132"/>
        <v>9.9384E-2</v>
      </c>
      <c r="X58" s="78">
        <f>IF(E58="K",Q58*'Rest Calc'!B$16,Q58*'Rest Calc'!B$17)</f>
        <v>628.10688000000005</v>
      </c>
      <c r="Y58" s="76">
        <f>VLOOKUP($D58,Engines_all!$A$3:'Engines_all'!$V$843,17,FALSE)</f>
        <v>6660</v>
      </c>
      <c r="Z58" s="76">
        <f>VLOOKUP($D58,Engines_all!$A$3:'Engines_all'!$V$843,18,FALSE)</f>
        <v>25.308000000000003</v>
      </c>
      <c r="AA58" s="76">
        <f>VLOOKUP($D58,Engines_all!$A$3:'Engines_all'!$V$843,19,FALSE)</f>
        <v>19.047599999999999</v>
      </c>
      <c r="AB58" s="76">
        <f>VLOOKUP($D58,Engines_all!$A$3:'Engines_all'!$V$843,20,FALSE)</f>
        <v>253.74600000000001</v>
      </c>
      <c r="AC58" s="76">
        <f>VLOOKUP($D58,Engines_all!$A$3:'Engines_all'!$V$843,21,FALSE)</f>
        <v>0.59270405452718988</v>
      </c>
      <c r="AD58" s="222">
        <f>VLOOKUP($D58,Engines_all!$A$3:'Engines_all'!$V$843,22,FALSE)</f>
        <v>7523552765022234</v>
      </c>
      <c r="AE58" s="80">
        <f t="shared" si="133"/>
        <v>3.33</v>
      </c>
      <c r="AF58" s="79">
        <f>IF(E58="K",Y58*'Rest Calc'!B$16,Y58*'Rest Calc'!B$17)</f>
        <v>21045.600000000002</v>
      </c>
      <c r="AG58" s="79">
        <f>IF(ALECA_Input!D$121="Standard",VLOOKUP($B58,$A$211:$J$218,6,FALSE),VLOOKUP($B58,$A$211:$J$218,10,FALSE))</f>
        <v>0</v>
      </c>
      <c r="AH58" s="163">
        <f t="shared" ref="AH58" si="134">G58/2+80</f>
        <v>121.14500000000001</v>
      </c>
      <c r="AI58" s="75">
        <v>3</v>
      </c>
      <c r="AJ58" s="74"/>
      <c r="AK58" s="74"/>
      <c r="AL58" s="74"/>
    </row>
    <row r="59" spans="1:38" x14ac:dyDescent="0.25">
      <c r="A59" s="397" t="s">
        <v>3481</v>
      </c>
      <c r="B59" s="75" t="s">
        <v>394</v>
      </c>
      <c r="C59" s="74" t="s">
        <v>1095</v>
      </c>
      <c r="D59" s="74" t="s">
        <v>1098</v>
      </c>
      <c r="E59" s="75" t="s">
        <v>2936</v>
      </c>
      <c r="F59" s="136">
        <v>2</v>
      </c>
      <c r="G59" s="243">
        <f>VLOOKUP(D59,Engines_all!$A$3:$AZ$843,52,FALSE)</f>
        <v>82.29</v>
      </c>
      <c r="H59" s="74">
        <f>ALECA_Input!C52</f>
        <v>0</v>
      </c>
      <c r="I59" s="82">
        <f t="shared" ref="I59" si="135">$H59/2*$F59*(R59+(Z59*$AG59/1000))</f>
        <v>0</v>
      </c>
      <c r="J59" s="82">
        <f t="shared" ref="J59" si="136">$H59/2*$F59*(S59+(AA59*$AG59/1000))</f>
        <v>0</v>
      </c>
      <c r="K59" s="82">
        <f t="shared" ref="K59" si="137">$H59/2*$F59*(T59+(AB59*$AG59/1000))</f>
        <v>0</v>
      </c>
      <c r="L59" s="82">
        <f t="shared" ref="L59" si="138">$H59/2*$F59*(U59+(AC59*$AG59/1000))</f>
        <v>0</v>
      </c>
      <c r="M59" s="161">
        <f t="shared" ref="M59" si="139">H59/2*$F59*(V59+AD59*AG59)</f>
        <v>0</v>
      </c>
      <c r="N59" s="82">
        <f t="shared" ref="N59" si="140">$H59/2*$F59*(W59+(AE59*$AG59/1000))</f>
        <v>0</v>
      </c>
      <c r="O59" s="82">
        <f t="shared" ref="O59" si="141">$H59/2*$F59*(X59+(AF59*$AG59/1000))</f>
        <v>0</v>
      </c>
      <c r="P59" s="262">
        <f t="shared" ref="P59" si="142">F59*H59/2*AH59/1000</f>
        <v>0</v>
      </c>
      <c r="Q59" s="76">
        <f>VLOOKUP($D59,Engines_all!$A$3:'Engines_all'!$V$843,11,FALSE)</f>
        <v>198.768</v>
      </c>
      <c r="R59" s="78">
        <f>VLOOKUP($D59,Engines_all!$A$3:'Engines_all'!$V$843,12,FALSE)</f>
        <v>2.5524912000000004</v>
      </c>
      <c r="S59" s="78">
        <f>VLOOKUP($D59,Engines_all!$A$3:'Engines_all'!$V$843,13,FALSE)</f>
        <v>1.1904000000000001E-2</v>
      </c>
      <c r="T59" s="78">
        <f>VLOOKUP($D59,Engines_all!$A$3:'Engines_all'!$V$843,14,FALSE)</f>
        <v>0.40476960000000006</v>
      </c>
      <c r="U59" s="78">
        <f>VLOOKUP($D59,Engines_all!$A$3:'Engines_all'!$V$843,15,FALSE)</f>
        <v>1.4146487373702346E-2</v>
      </c>
      <c r="V59" s="222">
        <f>VLOOKUP($D59,Engines_all!$A$3:'Engines_all'!$V$843,16,FALSE)</f>
        <v>9.1116151019993184E+16</v>
      </c>
      <c r="W59" s="77">
        <f t="shared" ref="W59" si="143">Q59*0.0005</f>
        <v>9.9384E-2</v>
      </c>
      <c r="X59" s="78">
        <f>IF(E59="K",Q59*'Rest Calc'!B$16,Q59*'Rest Calc'!B$17)</f>
        <v>628.10688000000005</v>
      </c>
      <c r="Y59" s="76">
        <f>VLOOKUP($D59,Engines_all!$A$3:'Engines_all'!$V$843,17,FALSE)</f>
        <v>6660</v>
      </c>
      <c r="Z59" s="76">
        <f>VLOOKUP($D59,Engines_all!$A$3:'Engines_all'!$V$843,18,FALSE)</f>
        <v>25.308000000000003</v>
      </c>
      <c r="AA59" s="76">
        <f>VLOOKUP($D59,Engines_all!$A$3:'Engines_all'!$V$843,19,FALSE)</f>
        <v>19.047599999999999</v>
      </c>
      <c r="AB59" s="76">
        <f>VLOOKUP($D59,Engines_all!$A$3:'Engines_all'!$V$843,20,FALSE)</f>
        <v>253.74600000000001</v>
      </c>
      <c r="AC59" s="76">
        <f>VLOOKUP($D59,Engines_all!$A$3:'Engines_all'!$V$843,21,FALSE)</f>
        <v>0.59270405452718988</v>
      </c>
      <c r="AD59" s="222">
        <f>VLOOKUP($D59,Engines_all!$A$3:'Engines_all'!$V$843,22,FALSE)</f>
        <v>7523552765022234</v>
      </c>
      <c r="AE59" s="80">
        <f t="shared" ref="AE59" si="144">Y59*0.0005</f>
        <v>3.33</v>
      </c>
      <c r="AF59" s="79">
        <f>IF(E59="K",Y59*'Rest Calc'!B$16,Y59*'Rest Calc'!B$17)</f>
        <v>21045.600000000002</v>
      </c>
      <c r="AG59" s="79">
        <f>IF(ALECA_Input!D$121="Standard",VLOOKUP($B59,$A$211:$J$218,6,FALSE),VLOOKUP($B59,$A$211:$J$218,10,FALSE))</f>
        <v>0</v>
      </c>
      <c r="AH59" s="163">
        <f t="shared" ref="AH59" si="145">G59/2+80</f>
        <v>121.14500000000001</v>
      </c>
      <c r="AI59" s="75">
        <v>3</v>
      </c>
      <c r="AJ59" s="74"/>
      <c r="AK59" s="74"/>
      <c r="AL59" s="74"/>
    </row>
    <row r="60" spans="1:38" x14ac:dyDescent="0.25">
      <c r="A60" s="397" t="s">
        <v>3506</v>
      </c>
      <c r="B60" s="75" t="s">
        <v>394</v>
      </c>
      <c r="C60" s="74" t="s">
        <v>1276</v>
      </c>
      <c r="D60" s="74" t="s">
        <v>1275</v>
      </c>
      <c r="E60" s="75" t="s">
        <v>2936</v>
      </c>
      <c r="F60" s="136">
        <v>2</v>
      </c>
      <c r="G60" s="243">
        <f>VLOOKUP(D60,Engines_all!$A$3:$AZ$843,52,FALSE)</f>
        <v>91.63</v>
      </c>
      <c r="H60" s="74">
        <f>ALECA_Input!C53</f>
        <v>0</v>
      </c>
      <c r="I60" s="82">
        <f t="shared" ref="I60" si="146">$H60/2*$F60*(R60+(Z60*$AG60/1000))</f>
        <v>0</v>
      </c>
      <c r="J60" s="82">
        <f t="shared" ref="J60" si="147">$H60/2*$F60*(S60+(AA60*$AG60/1000))</f>
        <v>0</v>
      </c>
      <c r="K60" s="82">
        <f t="shared" ref="K60" si="148">$H60/2*$F60*(T60+(AB60*$AG60/1000))</f>
        <v>0</v>
      </c>
      <c r="L60" s="82">
        <f t="shared" ref="L60" si="149">$H60/2*$F60*(U60+(AC60*$AG60/1000))</f>
        <v>0</v>
      </c>
      <c r="M60" s="161">
        <f t="shared" ref="M60" si="150">H60/2*$F60*(V60+AD60*AG60)</f>
        <v>0</v>
      </c>
      <c r="N60" s="82">
        <f t="shared" ref="N60" si="151">$H60/2*$F60*(W60+(AE60*$AG60/1000))</f>
        <v>0</v>
      </c>
      <c r="O60" s="82">
        <f t="shared" ref="O60" si="152">$H60/2*$F60*(X60+(AF60*$AG60/1000))</f>
        <v>0</v>
      </c>
      <c r="P60" s="262">
        <f t="shared" ref="P60" si="153">F60*H60/2*AH60/1000</f>
        <v>0</v>
      </c>
      <c r="Q60" s="76">
        <f>VLOOKUP($D60,Engines_all!$A$3:'Engines_all'!$V$843,11,FALSE)</f>
        <v>204.17400000000001</v>
      </c>
      <c r="R60" s="78">
        <f>VLOOKUP($D60,Engines_all!$A$3:'Engines_all'!$V$843,12,FALSE)</f>
        <v>2.2049179800000003</v>
      </c>
      <c r="S60" s="78">
        <f>VLOOKUP($D60,Engines_all!$A$3:'Engines_all'!$V$843,13,FALSE)</f>
        <v>4.9565459999999999E-2</v>
      </c>
      <c r="T60" s="78">
        <f>VLOOKUP($D60,Engines_all!$A$3:'Engines_all'!$V$843,14,FALSE)</f>
        <v>2.0527997999999998</v>
      </c>
      <c r="U60" s="78">
        <f>VLOOKUP($D60,Engines_all!$A$3:'Engines_all'!$V$843,15,FALSE)</f>
        <v>1.4015833676630328E-2</v>
      </c>
      <c r="V60" s="222">
        <f>VLOOKUP($D60,Engines_all!$A$3:'Engines_all'!$V$843,16,FALSE)</f>
        <v>1.6247118474767822E+16</v>
      </c>
      <c r="W60" s="77">
        <f t="shared" ref="W60" si="154">Q60*0.0005</f>
        <v>0.10208700000000001</v>
      </c>
      <c r="X60" s="78">
        <f>IF(E60="K",Q60*'Rest Calc'!B$16,Q60*'Rest Calc'!B$17)</f>
        <v>645.18984</v>
      </c>
      <c r="Y60" s="76">
        <f>VLOOKUP($D60,Engines_all!$A$3:'Engines_all'!$V$843,17,FALSE)</f>
        <v>6119.9999999999991</v>
      </c>
      <c r="Z60" s="76">
        <f>VLOOKUP($D60,Engines_all!$A$3:'Engines_all'!$V$843,18,FALSE)</f>
        <v>22.949999999999996</v>
      </c>
      <c r="AA60" s="76">
        <f>VLOOKUP($D60,Engines_all!$A$3:'Engines_all'!$V$843,19,FALSE)</f>
        <v>49.633199999999988</v>
      </c>
      <c r="AB60" s="76">
        <f>VLOOKUP($D60,Engines_all!$A$3:'Engines_all'!$V$843,20,FALSE)</f>
        <v>304.22519999999997</v>
      </c>
      <c r="AC60" s="76">
        <f>VLOOKUP($D60,Engines_all!$A$3:'Engines_all'!$V$843,21,FALSE)</f>
        <v>0.68874471695722883</v>
      </c>
      <c r="AD60" s="222">
        <f>VLOOKUP($D60,Engines_all!$A$3:'Engines_all'!$V$843,22,FALSE)</f>
        <v>4181546948002755.5</v>
      </c>
      <c r="AE60" s="80">
        <f t="shared" ref="AE60" si="155">Y60*0.0005</f>
        <v>3.0599999999999996</v>
      </c>
      <c r="AF60" s="79">
        <f>IF(E60="K",Y60*'Rest Calc'!B$16,Y60*'Rest Calc'!B$17)</f>
        <v>19339.199999999997</v>
      </c>
      <c r="AG60" s="79">
        <f>IF(ALECA_Input!D$121="Standard",VLOOKUP($B60,$A$211:$J$218,6,FALSE),VLOOKUP($B60,$A$211:$J$218,10,FALSE))</f>
        <v>0</v>
      </c>
      <c r="AH60" s="163">
        <f t="shared" ref="AH60" si="156">G60/2+80</f>
        <v>125.815</v>
      </c>
      <c r="AI60" s="75">
        <v>3</v>
      </c>
      <c r="AJ60" s="74"/>
      <c r="AK60" s="74"/>
      <c r="AL60" s="74"/>
    </row>
    <row r="61" spans="1:38" x14ac:dyDescent="0.25">
      <c r="A61" s="397" t="s">
        <v>3462</v>
      </c>
      <c r="B61" s="75" t="s">
        <v>394</v>
      </c>
      <c r="C61" s="74" t="s">
        <v>1171</v>
      </c>
      <c r="D61" s="74" t="s">
        <v>1170</v>
      </c>
      <c r="E61" s="75" t="s">
        <v>2936</v>
      </c>
      <c r="F61" s="136">
        <v>2</v>
      </c>
      <c r="G61" s="243">
        <f>VLOOKUP(D61,Engines_all!$A$3:$AZ$843,52,FALSE)</f>
        <v>101</v>
      </c>
      <c r="H61" s="74">
        <f>ALECA_Input!C54</f>
        <v>0</v>
      </c>
      <c r="I61" s="82">
        <f t="shared" si="124"/>
        <v>0</v>
      </c>
      <c r="J61" s="82">
        <f t="shared" si="125"/>
        <v>0</v>
      </c>
      <c r="K61" s="82">
        <f t="shared" si="126"/>
        <v>0</v>
      </c>
      <c r="L61" s="82">
        <f t="shared" si="127"/>
        <v>0</v>
      </c>
      <c r="M61" s="161">
        <f t="shared" si="128"/>
        <v>0</v>
      </c>
      <c r="N61" s="82">
        <f t="shared" si="129"/>
        <v>0</v>
      </c>
      <c r="O61" s="82">
        <f t="shared" si="130"/>
        <v>0</v>
      </c>
      <c r="P61" s="262">
        <f t="shared" si="131"/>
        <v>0</v>
      </c>
      <c r="Q61" s="76">
        <f>VLOOKUP($D61,Engines_all!$A$3:'Engines_all'!$V$843,11,FALSE)</f>
        <v>221.83199999999999</v>
      </c>
      <c r="R61" s="78">
        <f>VLOOKUP($D61,Engines_all!$A$3:'Engines_all'!$V$843,12,FALSE)</f>
        <v>2.9280052799999994</v>
      </c>
      <c r="S61" s="78">
        <f>VLOOKUP($D61,Engines_all!$A$3:'Engines_all'!$V$843,13,FALSE)</f>
        <v>9.0268799999999993E-3</v>
      </c>
      <c r="T61" s="78">
        <f>VLOOKUP($D61,Engines_all!$A$3:'Engines_all'!$V$843,14,FALSE)</f>
        <v>0.31734815999999993</v>
      </c>
      <c r="U61" s="78">
        <f>VLOOKUP($D61,Engines_all!$A$3:'Engines_all'!$V$843,15,FALSE)</f>
        <v>2.1582702534361769E-2</v>
      </c>
      <c r="V61" s="222">
        <f>VLOOKUP($D61,Engines_all!$A$3:'Engines_all'!$V$843,16,FALSE)</f>
        <v>1.1577496263921696E+17</v>
      </c>
      <c r="W61" s="77">
        <f t="shared" si="132"/>
        <v>0.110916</v>
      </c>
      <c r="X61" s="78">
        <f>IF(E61="K",Q61*'Rest Calc'!B$16,Q61*'Rest Calc'!B$17)</f>
        <v>700.98911999999996</v>
      </c>
      <c r="Y61" s="76">
        <f>VLOOKUP($D61,Engines_all!$A$3:'Engines_all'!$V$843,17,FALSE)</f>
        <v>5940</v>
      </c>
      <c r="Z61" s="76">
        <f>VLOOKUP($D61,Engines_all!$A$3:'Engines_all'!$V$843,18,FALSE)</f>
        <v>23.463000000000001</v>
      </c>
      <c r="AA61" s="76">
        <f>VLOOKUP($D61,Engines_all!$A$3:'Engines_all'!$V$843,19,FALSE)</f>
        <v>16.810200000000002</v>
      </c>
      <c r="AB61" s="76">
        <f>VLOOKUP($D61,Engines_all!$A$3:'Engines_all'!$V$843,20,FALSE)</f>
        <v>225.126</v>
      </c>
      <c r="AC61" s="76">
        <f>VLOOKUP($D61,Engines_all!$A$3:'Engines_all'!$V$843,21,FALSE)</f>
        <v>0.52233327689039943</v>
      </c>
      <c r="AD61" s="222">
        <f>VLOOKUP($D61,Engines_all!$A$3:'Engines_all'!$V$843,22,FALSE)</f>
        <v>6448060496956365</v>
      </c>
      <c r="AE61" s="80">
        <f t="shared" si="133"/>
        <v>2.97</v>
      </c>
      <c r="AF61" s="79">
        <f>IF(E61="K",Y61*'Rest Calc'!B$16,Y61*'Rest Calc'!B$17)</f>
        <v>18770.400000000001</v>
      </c>
      <c r="AG61" s="79">
        <f>IF(ALECA_Input!D$121="Standard",VLOOKUP($B61,$A$211:$J$218,6,FALSE),VLOOKUP($B61,$A$211:$J$218,10,FALSE))</f>
        <v>0</v>
      </c>
      <c r="AH61" s="163">
        <f t="shared" ref="AH61:AH73" si="157">G61/2+80</f>
        <v>130.5</v>
      </c>
      <c r="AI61" s="75">
        <v>3</v>
      </c>
      <c r="AJ61" s="74"/>
      <c r="AK61" s="74"/>
      <c r="AL61" s="74"/>
    </row>
    <row r="62" spans="1:38" x14ac:dyDescent="0.25">
      <c r="A62" s="397" t="s">
        <v>3468</v>
      </c>
      <c r="B62" s="75" t="s">
        <v>394</v>
      </c>
      <c r="C62" s="74" t="s">
        <v>1141</v>
      </c>
      <c r="D62" s="74" t="s">
        <v>1140</v>
      </c>
      <c r="E62" s="75" t="s">
        <v>2936</v>
      </c>
      <c r="F62" s="136">
        <v>2</v>
      </c>
      <c r="G62" s="243">
        <f>VLOOKUP(D62,Engines_all!$A$3:$AZ$843,52,FALSE)</f>
        <v>117</v>
      </c>
      <c r="H62" s="74">
        <f>ALECA_Input!C55</f>
        <v>0</v>
      </c>
      <c r="I62" s="82">
        <f t="shared" si="124"/>
        <v>0</v>
      </c>
      <c r="J62" s="82">
        <f t="shared" si="125"/>
        <v>0</v>
      </c>
      <c r="K62" s="82">
        <f t="shared" si="126"/>
        <v>0</v>
      </c>
      <c r="L62" s="82">
        <f t="shared" si="127"/>
        <v>0</v>
      </c>
      <c r="M62" s="161">
        <f t="shared" si="128"/>
        <v>0</v>
      </c>
      <c r="N62" s="82">
        <f t="shared" si="129"/>
        <v>0</v>
      </c>
      <c r="O62" s="82">
        <f t="shared" si="130"/>
        <v>0</v>
      </c>
      <c r="P62" s="262">
        <f t="shared" si="131"/>
        <v>0</v>
      </c>
      <c r="Q62" s="76">
        <f>VLOOKUP($D62,Engines_all!$A$3:'Engines_all'!$V$843,11,FALSE)</f>
        <v>254.4</v>
      </c>
      <c r="R62" s="78">
        <f>VLOOKUP($D62,Engines_all!$A$3:'Engines_all'!$V$843,12,FALSE)</f>
        <v>3.9967200000000003</v>
      </c>
      <c r="S62" s="78">
        <f>VLOOKUP($D62,Engines_all!$A$3:'Engines_all'!$V$843,13,FALSE)</f>
        <v>7.1999999999999998E-3</v>
      </c>
      <c r="T62" s="78">
        <f>VLOOKUP($D62,Engines_all!$A$3:'Engines_all'!$V$843,14,FALSE)</f>
        <v>0.25968000000000002</v>
      </c>
      <c r="U62" s="78">
        <f>VLOOKUP($D62,Engines_all!$A$3:'Engines_all'!$V$843,15,FALSE)</f>
        <v>2.6761386190512444E-2</v>
      </c>
      <c r="V62" s="222">
        <f>VLOOKUP($D62,Engines_all!$A$3:'Engines_all'!$V$843,16,FALSE)</f>
        <v>1.4354508514376142E+17</v>
      </c>
      <c r="W62" s="77">
        <f t="shared" si="132"/>
        <v>0.12720000000000001</v>
      </c>
      <c r="X62" s="78">
        <f>IF(E62="K",Q62*'Rest Calc'!B$16,Q62*'Rest Calc'!B$17)</f>
        <v>803.90400000000011</v>
      </c>
      <c r="Y62" s="76">
        <f>VLOOKUP($D62,Engines_all!$A$3:'Engines_all'!$V$843,17,FALSE)</f>
        <v>6000</v>
      </c>
      <c r="Z62" s="76">
        <f>VLOOKUP($D62,Engines_all!$A$3:'Engines_all'!$V$843,18,FALSE)</f>
        <v>25.799999999999997</v>
      </c>
      <c r="AA62" s="76">
        <f>VLOOKUP($D62,Engines_all!$A$3:'Engines_all'!$V$843,19,FALSE)</f>
        <v>10.8</v>
      </c>
      <c r="AB62" s="76">
        <f>VLOOKUP($D62,Engines_all!$A$3:'Engines_all'!$V$843,20,FALSE)</f>
        <v>185.39999999999998</v>
      </c>
      <c r="AC62" s="76">
        <f>VLOOKUP($D62,Engines_all!$A$3:'Engines_all'!$V$843,21,FALSE)</f>
        <v>0.49472641669116213</v>
      </c>
      <c r="AD62" s="222">
        <f>VLOOKUP($D62,Engines_all!$A$3:'Engines_all'!$V$843,22,FALSE)</f>
        <v>6777975463983994</v>
      </c>
      <c r="AE62" s="80">
        <f t="shared" si="133"/>
        <v>3</v>
      </c>
      <c r="AF62" s="79">
        <f>IF(E62="K",Y62*'Rest Calc'!B$16,Y62*'Rest Calc'!B$17)</f>
        <v>18960</v>
      </c>
      <c r="AG62" s="79">
        <f>IF(ALECA_Input!D$121="Standard",VLOOKUP($B62,$A$211:$J$218,6,FALSE),VLOOKUP($B62,$A$211:$J$218,10,FALSE))</f>
        <v>0</v>
      </c>
      <c r="AH62" s="163">
        <f t="shared" si="157"/>
        <v>138.5</v>
      </c>
      <c r="AI62" s="75">
        <v>3</v>
      </c>
      <c r="AJ62" s="74"/>
      <c r="AK62" s="74"/>
      <c r="AL62" s="74"/>
    </row>
    <row r="63" spans="1:38" x14ac:dyDescent="0.25">
      <c r="A63" s="397" t="s">
        <v>3474</v>
      </c>
      <c r="B63" s="75" t="s">
        <v>394</v>
      </c>
      <c r="C63" s="74" t="s">
        <v>1678</v>
      </c>
      <c r="D63" s="74" t="s">
        <v>1677</v>
      </c>
      <c r="E63" s="75" t="s">
        <v>2936</v>
      </c>
      <c r="F63" s="136">
        <v>2</v>
      </c>
      <c r="G63" s="243">
        <f>VLOOKUP(D63,Engines_all!$A$3:$AZ$843,52,FALSE)</f>
        <v>121.4</v>
      </c>
      <c r="H63" s="74">
        <f>ALECA_Input!C56</f>
        <v>0</v>
      </c>
      <c r="I63" s="82">
        <f t="shared" ref="I63:L64" si="158">$H63/2*$F63*(R63+(Z63*$AG63/1000))</f>
        <v>0</v>
      </c>
      <c r="J63" s="82">
        <f t="shared" si="158"/>
        <v>0</v>
      </c>
      <c r="K63" s="82">
        <f t="shared" si="158"/>
        <v>0</v>
      </c>
      <c r="L63" s="82">
        <f t="shared" si="158"/>
        <v>0</v>
      </c>
      <c r="M63" s="161">
        <f>H63/2*$F63*(V63+AD63*AG63)</f>
        <v>0</v>
      </c>
      <c r="N63" s="82">
        <f>$H63/2*$F63*(W63+(AE63*$AG63/1000))</f>
        <v>0</v>
      </c>
      <c r="O63" s="82">
        <f>$H63/2*$F63*(X63+(AF63*$AG63/1000))</f>
        <v>0</v>
      </c>
      <c r="P63" s="262">
        <f>F63*H63/2*AH63/1000</f>
        <v>0</v>
      </c>
      <c r="Q63" s="76">
        <f>VLOOKUP($D63,Engines_all!$A$3:'Engines_all'!$V$843,11,FALSE)</f>
        <v>258.60000000000002</v>
      </c>
      <c r="R63" s="78">
        <f>VLOOKUP($D63,Engines_all!$A$3:'Engines_all'!$V$843,12,FALSE)</f>
        <v>4.32294</v>
      </c>
      <c r="S63" s="78">
        <f>VLOOKUP($D63,Engines_all!$A$3:'Engines_all'!$V$843,13,FALSE)</f>
        <v>7.1999999999999998E-3</v>
      </c>
      <c r="T63" s="78">
        <f>VLOOKUP($D63,Engines_all!$A$3:'Engines_all'!$V$843,14,FALSE)</f>
        <v>0.24437999999999999</v>
      </c>
      <c r="U63" s="78">
        <f>VLOOKUP($D63,Engines_all!$A$3:'Engines_all'!$V$843,15,FALSE)</f>
        <v>2.835193892273722E-2</v>
      </c>
      <c r="V63" s="222">
        <f>VLOOKUP($D63,Engines_all!$A$3:'Engines_all'!$V$843,16,FALSE)</f>
        <v>1.522800378947863E+17</v>
      </c>
      <c r="W63" s="77">
        <f>Q63*0.0005</f>
        <v>0.12930000000000003</v>
      </c>
      <c r="X63" s="78">
        <f>IF(E63="K",Q63*'Rest Calc'!B$16,Q63*'Rest Calc'!B$17)</f>
        <v>817.17600000000016</v>
      </c>
      <c r="Y63" s="76">
        <f>VLOOKUP($D63,Engines_all!$A$3:'Engines_all'!$V$843,17,FALSE)</f>
        <v>6000</v>
      </c>
      <c r="Z63" s="76">
        <f>VLOOKUP($D63,Engines_all!$A$3:'Engines_all'!$V$843,18,FALSE)</f>
        <v>26.400000000000002</v>
      </c>
      <c r="AA63" s="76">
        <f>VLOOKUP($D63,Engines_all!$A$3:'Engines_all'!$V$843,19,FALSE)</f>
        <v>9</v>
      </c>
      <c r="AB63" s="76">
        <f>VLOOKUP($D63,Engines_all!$A$3:'Engines_all'!$V$843,20,FALSE)</f>
        <v>176.39999999999998</v>
      </c>
      <c r="AC63" s="76">
        <f>VLOOKUP($D63,Engines_all!$A$3:'Engines_all'!$V$843,21,FALSE)</f>
        <v>0.48362041669116218</v>
      </c>
      <c r="AD63" s="222">
        <f>VLOOKUP($D63,Engines_all!$A$3:'Engines_all'!$V$843,22,FALSE)</f>
        <v>6777975463983994</v>
      </c>
      <c r="AE63" s="80">
        <f>Y63*0.0005</f>
        <v>3</v>
      </c>
      <c r="AF63" s="79">
        <f>IF(E63="K",Y63*'Rest Calc'!B$16,Y63*'Rest Calc'!B$17)</f>
        <v>18960</v>
      </c>
      <c r="AG63" s="79">
        <f>IF(ALECA_Input!D$121="Standard",VLOOKUP($B63,$A$211:$J$218,6,FALSE),VLOOKUP($B63,$A$211:$J$218,10,FALSE))</f>
        <v>0</v>
      </c>
      <c r="AH63" s="163">
        <f>G63/2+80</f>
        <v>140.69999999999999</v>
      </c>
      <c r="AI63" s="75">
        <v>3</v>
      </c>
      <c r="AJ63" s="74"/>
      <c r="AK63" s="74"/>
      <c r="AL63" s="74"/>
    </row>
    <row r="64" spans="1:38" x14ac:dyDescent="0.25">
      <c r="A64" s="397" t="s">
        <v>451</v>
      </c>
      <c r="B64" s="75" t="s">
        <v>394</v>
      </c>
      <c r="C64" s="74" t="s">
        <v>2583</v>
      </c>
      <c r="D64" s="74" t="s">
        <v>3674</v>
      </c>
      <c r="E64" s="75" t="s">
        <v>2936</v>
      </c>
      <c r="F64" s="136">
        <v>2</v>
      </c>
      <c r="G64" s="243">
        <f>VLOOKUP(D64,Engines_all!$A$3:$AZ$843,52,FALSE)</f>
        <v>119.2</v>
      </c>
      <c r="H64" s="74">
        <f>ALECA_Input!C57</f>
        <v>0</v>
      </c>
      <c r="I64" s="82">
        <f t="shared" si="158"/>
        <v>0</v>
      </c>
      <c r="J64" s="82">
        <f t="shared" si="158"/>
        <v>0</v>
      </c>
      <c r="K64" s="82">
        <f t="shared" si="158"/>
        <v>0</v>
      </c>
      <c r="L64" s="82">
        <f t="shared" si="158"/>
        <v>0</v>
      </c>
      <c r="M64" s="161">
        <f>H64/2*$F64*(V64+AD64*AG64)</f>
        <v>0</v>
      </c>
      <c r="N64" s="82">
        <f>$H64/2*$F64*(W64+(AE64*$AG64/1000))</f>
        <v>0</v>
      </c>
      <c r="O64" s="82">
        <f>$H64/2*$F64*(X64+(AF64*$AG64/1000))</f>
        <v>0</v>
      </c>
      <c r="P64" s="262">
        <f>F64*H64/2*AH64/1000</f>
        <v>0</v>
      </c>
      <c r="Q64" s="76">
        <f>VLOOKUP($D64,Engines_all!$A$3:'Engines_all'!$V$843,11,FALSE)</f>
        <v>206.208</v>
      </c>
      <c r="R64" s="78">
        <f>VLOOKUP($D64,Engines_all!$A$3:'Engines_all'!$V$843,12,FALSE)</f>
        <v>4.7702688000000002</v>
      </c>
      <c r="S64" s="78">
        <f>VLOOKUP($D64,Engines_all!$A$3:'Engines_all'!$V$843,13,FALSE)</f>
        <v>8.8723199999999995E-3</v>
      </c>
      <c r="T64" s="78">
        <f>VLOOKUP($D64,Engines_all!$A$3:'Engines_all'!$V$843,14,FALSE)</f>
        <v>9.9342719999999995E-2</v>
      </c>
      <c r="U64" s="78">
        <f>VLOOKUP($D64,Engines_all!$A$3:'Engines_all'!$V$843,15,FALSE)</f>
        <v>1.1735870905257935E-2</v>
      </c>
      <c r="V64" s="222">
        <f>VLOOKUP($D64,Engines_all!$A$3:'Engines_all'!$V$843,16,FALSE)</f>
        <v>3.0799375775972408E+16</v>
      </c>
      <c r="W64" s="77">
        <f>Q64*0.0005</f>
        <v>0.103104</v>
      </c>
      <c r="X64" s="78">
        <f>IF(E64="K",Q64*'Rest Calc'!B$16,Q64*'Rest Calc'!B$17)</f>
        <v>651.61728000000005</v>
      </c>
      <c r="Y64" s="76">
        <f>VLOOKUP($D64,Engines_all!$A$3:'Engines_all'!$V$843,17,FALSE)</f>
        <v>5460</v>
      </c>
      <c r="Z64" s="76">
        <f>VLOOKUP($D64,Engines_all!$A$3:'Engines_all'!$V$843,18,FALSE)</f>
        <v>24.952200000000001</v>
      </c>
      <c r="AA64" s="76">
        <f>VLOOKUP($D64,Engines_all!$A$3:'Engines_all'!$V$843,19,FALSE)</f>
        <v>3.2213999999999996</v>
      </c>
      <c r="AB64" s="76">
        <f>VLOOKUP($D64,Engines_all!$A$3:'Engines_all'!$V$843,20,FALSE)</f>
        <v>83.374200000000002</v>
      </c>
      <c r="AC64" s="76">
        <f>VLOOKUP($D64,Engines_all!$A$3:'Engines_all'!$V$843,21,FALSE)</f>
        <v>0.33531672237140142</v>
      </c>
      <c r="AD64" s="222">
        <f>VLOOKUP($D64,Engines_all!$A$3:'Engines_all'!$V$843,22,FALSE)</f>
        <v>2726880392511592</v>
      </c>
      <c r="AE64" s="80">
        <f>Y64*0.0005</f>
        <v>2.73</v>
      </c>
      <c r="AF64" s="79">
        <f>IF(E64="K",Y64*'Rest Calc'!B$16,Y64*'Rest Calc'!B$17)</f>
        <v>17253.600000000002</v>
      </c>
      <c r="AG64" s="79">
        <f>IF(ALECA_Input!D$121="Standard",VLOOKUP($B64,$A$211:$J$218,6,FALSE),VLOOKUP($B64,$A$211:$J$218,10,FALSE))</f>
        <v>0</v>
      </c>
      <c r="AH64" s="163">
        <f>G64/2+80</f>
        <v>139.6</v>
      </c>
      <c r="AI64" s="75">
        <v>3</v>
      </c>
      <c r="AJ64" s="74"/>
      <c r="AK64" s="74"/>
      <c r="AL64" s="74"/>
    </row>
    <row r="65" spans="1:38" x14ac:dyDescent="0.25">
      <c r="A65" s="417" t="s">
        <v>452</v>
      </c>
      <c r="B65" s="75" t="s">
        <v>383</v>
      </c>
      <c r="C65" s="396" t="s">
        <v>1509</v>
      </c>
      <c r="D65" s="396" t="s">
        <v>1519</v>
      </c>
      <c r="E65" s="75" t="s">
        <v>2936</v>
      </c>
      <c r="F65" s="136">
        <v>4</v>
      </c>
      <c r="G65" s="243">
        <f>VLOOKUP(D65,Engines_all!$A$3:$AZ$843,52,FALSE)</f>
        <v>249.01</v>
      </c>
      <c r="H65" s="74">
        <f>ALECA_Input!C23*ALECA_Input!F23</f>
        <v>0</v>
      </c>
      <c r="I65" s="82">
        <f t="shared" si="124"/>
        <v>0</v>
      </c>
      <c r="J65" s="82">
        <f t="shared" si="125"/>
        <v>0</v>
      </c>
      <c r="K65" s="82">
        <f t="shared" si="126"/>
        <v>0</v>
      </c>
      <c r="L65" s="82">
        <f t="shared" si="127"/>
        <v>0</v>
      </c>
      <c r="M65" s="161">
        <f t="shared" si="128"/>
        <v>0</v>
      </c>
      <c r="N65" s="82">
        <f t="shared" si="129"/>
        <v>0</v>
      </c>
      <c r="O65" s="82">
        <f t="shared" si="130"/>
        <v>0</v>
      </c>
      <c r="P65" s="262">
        <f t="shared" si="131"/>
        <v>0</v>
      </c>
      <c r="Q65" s="76">
        <f>VLOOKUP($D65,Engines_all!$A$3:'Engines_all'!$V$843,11,FALSE)</f>
        <v>503.18400000000003</v>
      </c>
      <c r="R65" s="78">
        <f>VLOOKUP($D65,Engines_all!$A$3:'Engines_all'!$V$843,12,FALSE)</f>
        <v>9.3057991199999996</v>
      </c>
      <c r="S65" s="78">
        <f>VLOOKUP($D65,Engines_all!$A$3:'Engines_all'!$V$843,13,FALSE)</f>
        <v>3.5743200000000003E-2</v>
      </c>
      <c r="T65" s="78">
        <f>VLOOKUP($D65,Engines_all!$A$3:'Engines_all'!$V$843,14,FALSE)</f>
        <v>0.34369536000000001</v>
      </c>
      <c r="U65" s="78">
        <f>VLOOKUP($D65,Engines_all!$A$3:'Engines_all'!$V$843,15,FALSE)</f>
        <v>4.0948612038052661E-2</v>
      </c>
      <c r="V65" s="222">
        <f>VLOOKUP($D65,Engines_all!$A$3:'Engines_all'!$V$843,16,FALSE)</f>
        <v>1.0451496499954934E+17</v>
      </c>
      <c r="W65" s="77">
        <f t="shared" si="132"/>
        <v>0.25159200000000004</v>
      </c>
      <c r="X65" s="78">
        <f>IF(E65="K",Q65*'Rest Calc'!B$16,Q65*'Rest Calc'!B$17)</f>
        <v>1590.0614400000002</v>
      </c>
      <c r="Y65" s="76">
        <f>VLOOKUP($D65,Engines_all!$A$3:'Engines_all'!$V$843,17,FALSE)</f>
        <v>11820</v>
      </c>
      <c r="Z65" s="76">
        <f>VLOOKUP($D65,Engines_all!$A$3:'Engines_all'!$V$843,18,FALSE)</f>
        <v>54.372</v>
      </c>
      <c r="AA65" s="76">
        <f>VLOOKUP($D65,Engines_all!$A$3:'Engines_all'!$V$843,19,FALSE)</f>
        <v>20.212199999999999</v>
      </c>
      <c r="AB65" s="76">
        <f>VLOOKUP($D65,Engines_all!$A$3:'Engines_all'!$V$843,20,FALSE)</f>
        <v>243.72840000000002</v>
      </c>
      <c r="AC65" s="76">
        <f>VLOOKUP($D65,Engines_all!$A$3:'Engines_all'!$V$843,21,FALSE)</f>
        <v>0.74336097329546869</v>
      </c>
      <c r="AD65" s="222">
        <f>VLOOKUP($D65,Engines_all!$A$3:'Engines_all'!$V$843,22,FALSE)</f>
        <v>2015499116393526.8</v>
      </c>
      <c r="AE65" s="80">
        <f t="shared" si="133"/>
        <v>5.91</v>
      </c>
      <c r="AF65" s="79">
        <f>IF(E65="K",Y65*'Rest Calc'!B$16,Y65*'Rest Calc'!B$17)</f>
        <v>37351.200000000004</v>
      </c>
      <c r="AG65" s="79">
        <f>IF(ALECA_Input!D$121="Standard",VLOOKUP($B65,$A$211:$J$218,6,FALSE),VLOOKUP($B65,$A$211:$J$218,10,FALSE))</f>
        <v>0</v>
      </c>
      <c r="AH65" s="163">
        <f t="shared" si="157"/>
        <v>204.505</v>
      </c>
      <c r="AI65" s="75">
        <v>1</v>
      </c>
      <c r="AJ65" s="74"/>
      <c r="AK65" s="74"/>
      <c r="AL65" s="74"/>
    </row>
    <row r="66" spans="1:38" x14ac:dyDescent="0.25">
      <c r="A66" s="417" t="s">
        <v>452</v>
      </c>
      <c r="B66" s="75" t="s">
        <v>383</v>
      </c>
      <c r="C66" s="74" t="s">
        <v>1941</v>
      </c>
      <c r="D66" s="396" t="s">
        <v>1940</v>
      </c>
      <c r="E66" s="75" t="s">
        <v>2936</v>
      </c>
      <c r="F66" s="136">
        <v>4</v>
      </c>
      <c r="G66" s="243">
        <f>VLOOKUP(D66,Engines_all!$A$3:$AZ$843,52,FALSE)</f>
        <v>249.1</v>
      </c>
      <c r="H66" s="74">
        <f>ALECA_Input!C23*ALECA_Input!I23</f>
        <v>0</v>
      </c>
      <c r="I66" s="82">
        <f t="shared" ref="I66" si="159">$H66/2*$F66*(R66+(Z66*$AG66/1000))</f>
        <v>0</v>
      </c>
      <c r="J66" s="82">
        <f t="shared" ref="J66" si="160">$H66/2*$F66*(S66+(AA66*$AG66/1000))</f>
        <v>0</v>
      </c>
      <c r="K66" s="82">
        <f t="shared" ref="K66" si="161">$H66/2*$F66*(T66+(AB66*$AG66/1000))</f>
        <v>0</v>
      </c>
      <c r="L66" s="82">
        <f t="shared" ref="L66" si="162">$H66/2*$F66*(U66+(AC66*$AG66/1000))</f>
        <v>0</v>
      </c>
      <c r="M66" s="161">
        <f t="shared" ref="M66" si="163">H66/2*$F66*(V66+AD66*AG66)</f>
        <v>0</v>
      </c>
      <c r="N66" s="82">
        <f t="shared" ref="N66" si="164">$H66/2*$F66*(W66+(AE66*$AG66/1000))</f>
        <v>0</v>
      </c>
      <c r="O66" s="82">
        <f t="shared" ref="O66" si="165">$H66/2*$F66*(X66+(AF66*$AG66/1000))</f>
        <v>0</v>
      </c>
      <c r="P66" s="262">
        <f t="shared" ref="P66" si="166">F66*H66/2*AH66/1000</f>
        <v>0</v>
      </c>
      <c r="Q66" s="76">
        <f>VLOOKUP($D66,Engines_all!$A$3:'Engines_all'!$V$843,11,FALSE)</f>
        <v>511.04400000000004</v>
      </c>
      <c r="R66" s="78">
        <f>VLOOKUP($D66,Engines_all!$A$3:'Engines_all'!$V$843,12,FALSE)</f>
        <v>10.4299044</v>
      </c>
      <c r="S66" s="78">
        <f>VLOOKUP($D66,Engines_all!$A$3:'Engines_all'!$V$843,13,FALSE)</f>
        <v>2.8979040000000001E-2</v>
      </c>
      <c r="T66" s="78">
        <f>VLOOKUP($D66,Engines_all!$A$3:'Engines_all'!$V$843,14,FALSE)</f>
        <v>0.50433336000000006</v>
      </c>
      <c r="U66" s="78">
        <f>VLOOKUP($D66,Engines_all!$A$3:'Engines_all'!$V$843,15,FALSE)</f>
        <v>4.9072092464836375E-2</v>
      </c>
      <c r="V66" s="222">
        <f>VLOOKUP($D66,Engines_all!$A$3:'Engines_all'!$V$843,16,FALSE)</f>
        <v>2.8636059377030893E+17</v>
      </c>
      <c r="W66" s="77">
        <f t="shared" ref="W66" si="167">Q66*0.0005</f>
        <v>0.25552200000000003</v>
      </c>
      <c r="X66" s="78">
        <f>IF(E66="K",Q66*'Rest Calc'!B$16,Q66*'Rest Calc'!B$17)</f>
        <v>1614.8990400000002</v>
      </c>
      <c r="Y66" s="76">
        <f>VLOOKUP($D66,Engines_all!$A$3:'Engines_all'!$V$843,17,FALSE)</f>
        <v>12479.999999999998</v>
      </c>
      <c r="Z66" s="76">
        <f>VLOOKUP($D66,Engines_all!$A$3:'Engines_all'!$V$843,18,FALSE)</f>
        <v>59.903999999999989</v>
      </c>
      <c r="AA66" s="76">
        <f>VLOOKUP($D66,Engines_all!$A$3:'Engines_all'!$V$843,19,FALSE)</f>
        <v>23.961599999999997</v>
      </c>
      <c r="AB66" s="76">
        <f>VLOOKUP($D66,Engines_all!$A$3:'Engines_all'!$V$843,20,FALSE)</f>
        <v>272.81279999999998</v>
      </c>
      <c r="AC66" s="76">
        <f>VLOOKUP($D66,Engines_all!$A$3:'Engines_all'!$V$843,21,FALSE)</f>
        <v>1.0950690793056728</v>
      </c>
      <c r="AD66" s="222">
        <f>VLOOKUP($D66,Engines_all!$A$3:'Engines_all'!$V$843,22,FALSE)</f>
        <v>1.6964070402764042E+16</v>
      </c>
      <c r="AE66" s="80">
        <f t="shared" ref="AE66" si="168">Y66*0.0005</f>
        <v>6.2399999999999993</v>
      </c>
      <c r="AF66" s="79">
        <f>IF(E66="K",Y66*'Rest Calc'!B$16,Y66*'Rest Calc'!B$17)</f>
        <v>39436.799999999996</v>
      </c>
      <c r="AG66" s="79">
        <f>IF(ALECA_Input!D$121="Standard",VLOOKUP($B66,$A$211:$J$218,6,FALSE),VLOOKUP($B66,$A$211:$J$218,10,FALSE))</f>
        <v>0</v>
      </c>
      <c r="AH66" s="163">
        <f t="shared" ref="AH66" si="169">G66/2+80</f>
        <v>204.55</v>
      </c>
      <c r="AI66" s="75">
        <v>1</v>
      </c>
      <c r="AJ66" s="74"/>
      <c r="AK66" s="74"/>
      <c r="AL66" s="74"/>
    </row>
    <row r="67" spans="1:38" x14ac:dyDescent="0.25">
      <c r="A67" s="397" t="s">
        <v>3459</v>
      </c>
      <c r="B67" s="75" t="s">
        <v>383</v>
      </c>
      <c r="C67" s="74" t="s">
        <v>3475</v>
      </c>
      <c r="D67" s="74" t="s">
        <v>1760</v>
      </c>
      <c r="E67" s="75" t="s">
        <v>2936</v>
      </c>
      <c r="F67" s="136">
        <v>4</v>
      </c>
      <c r="G67" s="243">
        <f>VLOOKUP(D67,Engines_all!$A$3:$AZ$843,52,FALSE)</f>
        <v>299.8</v>
      </c>
      <c r="H67" s="74">
        <f>ALECA_Input!C24</f>
        <v>0</v>
      </c>
      <c r="I67" s="82">
        <f t="shared" si="124"/>
        <v>0</v>
      </c>
      <c r="J67" s="82">
        <f t="shared" si="125"/>
        <v>0</v>
      </c>
      <c r="K67" s="82">
        <f t="shared" si="126"/>
        <v>0</v>
      </c>
      <c r="L67" s="82">
        <f t="shared" si="127"/>
        <v>0</v>
      </c>
      <c r="M67" s="161">
        <f t="shared" si="128"/>
        <v>0</v>
      </c>
      <c r="N67" s="82">
        <f t="shared" si="129"/>
        <v>0</v>
      </c>
      <c r="O67" s="82">
        <f t="shared" si="130"/>
        <v>0</v>
      </c>
      <c r="P67" s="262">
        <f t="shared" si="131"/>
        <v>0</v>
      </c>
      <c r="Q67" s="76">
        <f>VLOOKUP($D67,Engines_all!$A$3:'Engines_all'!$V$843,11,FALSE)</f>
        <v>536.76599999999996</v>
      </c>
      <c r="R67" s="78">
        <f>VLOOKUP($D67,Engines_all!$A$3:'Engines_all'!$V$843,12,FALSE)</f>
        <v>9.5881065599999999</v>
      </c>
      <c r="S67" s="78">
        <f>VLOOKUP($D67,Engines_all!$A$3:'Engines_all'!$V$843,13,FALSE)</f>
        <v>1.7464919999999998E-2</v>
      </c>
      <c r="T67" s="78">
        <f>VLOOKUP($D67,Engines_all!$A$3:'Engines_all'!$V$843,14,FALSE)</f>
        <v>0.51751086000000002</v>
      </c>
      <c r="U67" s="78">
        <f>VLOOKUP($D67,Engines_all!$A$3:'Engines_all'!$V$843,15,FALSE)</f>
        <v>4.0519476166746199E-2</v>
      </c>
      <c r="V67" s="222">
        <f>VLOOKUP($D67,Engines_all!$A$3:'Engines_all'!$V$843,16,FALSE)</f>
        <v>6.3296805026869542E+17</v>
      </c>
      <c r="W67" s="77">
        <f t="shared" si="132"/>
        <v>0.26838299999999998</v>
      </c>
      <c r="X67" s="78">
        <f>IF(E67="K",Q67*'Rest Calc'!B$16,Q67*'Rest Calc'!B$17)</f>
        <v>1696.18056</v>
      </c>
      <c r="Y67" s="76">
        <f>VLOOKUP($D67,Engines_all!$A$3:'Engines_all'!$V$843,17,FALSE)</f>
        <v>12959.999999999998</v>
      </c>
      <c r="Z67" s="76">
        <f>VLOOKUP($D67,Engines_all!$A$3:'Engines_all'!$V$843,18,FALSE)</f>
        <v>57.41279999999999</v>
      </c>
      <c r="AA67" s="76">
        <f>VLOOKUP($D67,Engines_all!$A$3:'Engines_all'!$V$843,19,FALSE)</f>
        <v>7.3871999999999991</v>
      </c>
      <c r="AB67" s="76">
        <f>VLOOKUP($D67,Engines_all!$A$3:'Engines_all'!$V$843,20,FALSE)</f>
        <v>245.59199999999998</v>
      </c>
      <c r="AC67" s="76">
        <f>VLOOKUP($D67,Engines_all!$A$3:'Engines_all'!$V$843,21,FALSE)</f>
        <v>0.72389763845594524</v>
      </c>
      <c r="AD67" s="222">
        <f>VLOOKUP($D67,Engines_all!$A$3:'Engines_all'!$V$843,22,FALSE)</f>
        <v>2209887356045694</v>
      </c>
      <c r="AE67" s="80">
        <f t="shared" si="133"/>
        <v>6.4799999999999995</v>
      </c>
      <c r="AF67" s="79">
        <f>IF(E67="K",Y67*'Rest Calc'!B$16,Y67*'Rest Calc'!B$17)</f>
        <v>40953.599999999999</v>
      </c>
      <c r="AG67" s="79">
        <f>IF(ALECA_Input!D$121="Standard",VLOOKUP($B67,$A$211:$J$218,6,FALSE),VLOOKUP($B67,$A$211:$J$218,10,FALSE))</f>
        <v>0</v>
      </c>
      <c r="AH67" s="163">
        <f t="shared" si="157"/>
        <v>229.9</v>
      </c>
      <c r="AI67" s="75">
        <v>3</v>
      </c>
      <c r="AJ67" s="74"/>
      <c r="AK67" s="74"/>
      <c r="AL67" s="74"/>
    </row>
    <row r="68" spans="1:38" x14ac:dyDescent="0.25">
      <c r="A68" s="397" t="s">
        <v>3501</v>
      </c>
      <c r="B68" s="75" t="s">
        <v>394</v>
      </c>
      <c r="C68" s="74" t="s">
        <v>2129</v>
      </c>
      <c r="D68" s="74" t="s">
        <v>2128</v>
      </c>
      <c r="E68" s="75" t="s">
        <v>2936</v>
      </c>
      <c r="F68" s="136">
        <v>2</v>
      </c>
      <c r="G68" s="243">
        <f>VLOOKUP(D68,Engines_all!$A$3:$AZ$843,52,FALSE)</f>
        <v>191.73000000000002</v>
      </c>
      <c r="H68" s="74">
        <f>ALECA_Input!C58</f>
        <v>0</v>
      </c>
      <c r="I68" s="82">
        <f>$H68/2*$F68*(R68+(Z68*$AG68/1000))</f>
        <v>0</v>
      </c>
      <c r="J68" s="82">
        <f>$H68/2*$F68*(S68+(AA68*$AG68/1000))</f>
        <v>0</v>
      </c>
      <c r="K68" s="82">
        <f>$H68/2*$F68*(T68+(AB68*$AG68/1000))</f>
        <v>0</v>
      </c>
      <c r="L68" s="82">
        <f>$H68/2*$F68*(U68+(AC68*$AG68/1000))</f>
        <v>0</v>
      </c>
      <c r="M68" s="161">
        <f>H68/2*$F68*(V68+AD68*AG68)</f>
        <v>0</v>
      </c>
      <c r="N68" s="82">
        <f>$H68/2*$F68*(W68+(AE68*$AG68/1000))</f>
        <v>0</v>
      </c>
      <c r="O68" s="82">
        <f>$H68/2*$F68*(X68+(AF68*$AG68/1000))</f>
        <v>0</v>
      </c>
      <c r="P68" s="262">
        <f>F68*H68/2*AH68/1000</f>
        <v>0</v>
      </c>
      <c r="Q68" s="76">
        <f>VLOOKUP($D68,Engines_all!$A$3:'Engines_all'!$V$843,11,FALSE)</f>
        <v>437.16</v>
      </c>
      <c r="R68" s="78">
        <f>VLOOKUP($D68,Engines_all!$A$3:'Engines_all'!$V$843,12,FALSE)</f>
        <v>13.747221600000003</v>
      </c>
      <c r="S68" s="78">
        <f>VLOOKUP($D68,Engines_all!$A$3:'Engines_all'!$V$843,13,FALSE)</f>
        <v>4.8335999999999995E-3</v>
      </c>
      <c r="T68" s="78">
        <f>VLOOKUP($D68,Engines_all!$A$3:'Engines_all'!$V$843,14,FALSE)</f>
        <v>0.35139840000000006</v>
      </c>
      <c r="U68" s="78">
        <f>VLOOKUP($D68,Engines_all!$A$3:'Engines_all'!$V$843,15,FALSE)</f>
        <v>3.5914305554105609E-2</v>
      </c>
      <c r="V68" s="222">
        <f>VLOOKUP($D68,Engines_all!$A$3:'Engines_all'!$V$843,16,FALSE)</f>
        <v>2.1751802002103635E+17</v>
      </c>
      <c r="W68" s="77">
        <f>Q68*0.0005</f>
        <v>0.21858000000000002</v>
      </c>
      <c r="X68" s="78">
        <f>IF(E68="K",Q68*'Rest Calc'!B$16,Q68*'Rest Calc'!B$17)</f>
        <v>1381.4256</v>
      </c>
      <c r="Y68" s="76">
        <f>VLOOKUP($D68,Engines_all!$A$3:'Engines_all'!$V$843,17,FALSE)</f>
        <v>11400</v>
      </c>
      <c r="Z68" s="76">
        <f>VLOOKUP($D68,Engines_all!$A$3:'Engines_all'!$V$843,18,FALSE)</f>
        <v>40.128</v>
      </c>
      <c r="AA68" s="76">
        <f>VLOOKUP($D68,Engines_all!$A$3:'Engines_all'!$V$843,19,FALSE)</f>
        <v>3.1920000000000006</v>
      </c>
      <c r="AB68" s="76">
        <f>VLOOKUP($D68,Engines_all!$A$3:'Engines_all'!$V$843,20,FALSE)</f>
        <v>134.06399999999999</v>
      </c>
      <c r="AC68" s="76">
        <f>VLOOKUP($D68,Engines_all!$A$3:'Engines_all'!$V$843,21,FALSE)</f>
        <v>0.89752818104640908</v>
      </c>
      <c r="AD68" s="222">
        <f>VLOOKUP($D68,Engines_all!$A$3:'Engines_all'!$V$843,22,FALSE)</f>
        <v>1.6130731361361334E+16</v>
      </c>
      <c r="AE68" s="80">
        <f>Y68*0.0005</f>
        <v>5.7</v>
      </c>
      <c r="AF68" s="79">
        <f>IF(E68="K",Y68*'Rest Calc'!B$16,Y68*'Rest Calc'!B$17)</f>
        <v>36024</v>
      </c>
      <c r="AG68" s="79">
        <f>IF(ALECA_Input!D$121="Standard",VLOOKUP($B68,$A$211:$J$218,6,FALSE),VLOOKUP($B68,$A$211:$J$218,10,FALSE))</f>
        <v>0</v>
      </c>
      <c r="AH68" s="163">
        <f>G68/2+80</f>
        <v>175.86500000000001</v>
      </c>
      <c r="AI68" s="75">
        <v>3</v>
      </c>
      <c r="AJ68" s="74"/>
      <c r="AK68" s="74"/>
      <c r="AL68" s="74"/>
    </row>
    <row r="69" spans="1:38" x14ac:dyDescent="0.25">
      <c r="A69" s="417" t="s">
        <v>3543</v>
      </c>
      <c r="B69" s="75" t="s">
        <v>393</v>
      </c>
      <c r="C69" s="74" t="s">
        <v>1357</v>
      </c>
      <c r="D69" s="74" t="s">
        <v>1506</v>
      </c>
      <c r="E69" s="75" t="s">
        <v>2936</v>
      </c>
      <c r="F69" s="136">
        <v>2</v>
      </c>
      <c r="G69" s="243">
        <f>VLOOKUP(D69,Engines_all!$A$3:$AZ$843,52,FALSE)</f>
        <v>267.2</v>
      </c>
      <c r="H69" s="74">
        <f>ALECA_Input!C36*ALECA_Input!F36</f>
        <v>0</v>
      </c>
      <c r="I69" s="82">
        <f t="shared" si="124"/>
        <v>0</v>
      </c>
      <c r="J69" s="82">
        <f t="shared" si="125"/>
        <v>0</v>
      </c>
      <c r="K69" s="82">
        <f t="shared" si="126"/>
        <v>0</v>
      </c>
      <c r="L69" s="82">
        <f t="shared" si="127"/>
        <v>0</v>
      </c>
      <c r="M69" s="161">
        <f t="shared" si="128"/>
        <v>0</v>
      </c>
      <c r="N69" s="82">
        <f t="shared" si="129"/>
        <v>0</v>
      </c>
      <c r="O69" s="82">
        <f t="shared" si="130"/>
        <v>0</v>
      </c>
      <c r="P69" s="262">
        <f t="shared" si="131"/>
        <v>0</v>
      </c>
      <c r="Q69" s="76">
        <f>VLOOKUP($D69,Engines_all!$A$3:'Engines_all'!$V$843,11,FALSE)</f>
        <v>547.65000000000009</v>
      </c>
      <c r="R69" s="78">
        <f>VLOOKUP($D69,Engines_all!$A$3:'Engines_all'!$V$843,12,FALSE)</f>
        <v>11.138582460000002</v>
      </c>
      <c r="S69" s="78">
        <f>VLOOKUP($D69,Engines_all!$A$3:'Engines_all'!$V$843,13,FALSE)</f>
        <v>6.2485620000000013E-2</v>
      </c>
      <c r="T69" s="78">
        <f>VLOOKUP($D69,Engines_all!$A$3:'Engines_all'!$V$843,14,FALSE)</f>
        <v>0.51692039999999995</v>
      </c>
      <c r="U69" s="78">
        <f>VLOOKUP($D69,Engines_all!$A$3:'Engines_all'!$V$843,15,FALSE)</f>
        <v>5.4950016334227074E-2</v>
      </c>
      <c r="V69" s="222">
        <f>VLOOKUP($D69,Engines_all!$A$3:'Engines_all'!$V$843,16,FALSE)</f>
        <v>3.0347410388552563E+17</v>
      </c>
      <c r="W69" s="77">
        <f t="shared" si="132"/>
        <v>0.27382500000000004</v>
      </c>
      <c r="X69" s="78">
        <f>IF(E69="K",Q69*'Rest Calc'!B$16,Q69*'Rest Calc'!B$17)</f>
        <v>1730.5740000000003</v>
      </c>
      <c r="Y69" s="76">
        <f>VLOOKUP($D69,Engines_all!$A$3:'Engines_all'!$V$843,17,FALSE)</f>
        <v>12420</v>
      </c>
      <c r="Z69" s="76">
        <f>VLOOKUP($D69,Engines_all!$A$3:'Engines_all'!$V$843,18,FALSE)</f>
        <v>47.071800000000003</v>
      </c>
      <c r="AA69" s="76">
        <f>VLOOKUP($D69,Engines_all!$A$3:'Engines_all'!$V$843,19,FALSE)</f>
        <v>111.6558</v>
      </c>
      <c r="AB69" s="76">
        <f>VLOOKUP($D69,Engines_all!$A$3:'Engines_all'!$V$843,20,FALSE)</f>
        <v>517.41720000000009</v>
      </c>
      <c r="AC69" s="76">
        <f>VLOOKUP($D69,Engines_all!$A$3:'Engines_all'!$V$843,21,FALSE)</f>
        <v>1.6315883221167033</v>
      </c>
      <c r="AD69" s="222">
        <f>VLOOKUP($D69,Engines_all!$A$3:'Engines_all'!$V$843,22,FALSE)</f>
        <v>1.6882512371981526E+16</v>
      </c>
      <c r="AE69" s="80">
        <f t="shared" si="133"/>
        <v>6.21</v>
      </c>
      <c r="AF69" s="79">
        <f>IF(E69="K",Y69*'Rest Calc'!B$16,Y69*'Rest Calc'!B$17)</f>
        <v>39247.200000000004</v>
      </c>
      <c r="AG69" s="79">
        <f>IF(ALECA_Input!D$121="Standard",VLOOKUP($B69,$A$211:$J$218,6,FALSE),VLOOKUP($B69,$A$211:$J$218,10,FALSE))</f>
        <v>0</v>
      </c>
      <c r="AH69" s="163">
        <f t="shared" si="157"/>
        <v>213.6</v>
      </c>
      <c r="AI69" s="75">
        <v>2</v>
      </c>
      <c r="AJ69" s="74"/>
      <c r="AK69" s="74"/>
      <c r="AL69" s="74"/>
    </row>
    <row r="70" spans="1:38" x14ac:dyDescent="0.25">
      <c r="A70" s="417" t="s">
        <v>3543</v>
      </c>
      <c r="B70" s="75" t="s">
        <v>393</v>
      </c>
      <c r="C70" s="74" t="s">
        <v>1944</v>
      </c>
      <c r="D70" s="74" t="s">
        <v>1943</v>
      </c>
      <c r="E70" s="75" t="s">
        <v>2936</v>
      </c>
      <c r="F70" s="136">
        <v>2</v>
      </c>
      <c r="G70" s="243">
        <f>VLOOKUP(D70,Engines_all!$A$3:$AZ$843,52,FALSE)</f>
        <v>266.89999999999998</v>
      </c>
      <c r="H70" s="74">
        <f>ALECA_Input!C36*ALECA_Input!I36</f>
        <v>0</v>
      </c>
      <c r="I70" s="82">
        <f t="shared" si="124"/>
        <v>0</v>
      </c>
      <c r="J70" s="82">
        <f t="shared" si="125"/>
        <v>0</v>
      </c>
      <c r="K70" s="82">
        <f t="shared" si="126"/>
        <v>0</v>
      </c>
      <c r="L70" s="82">
        <f t="shared" si="127"/>
        <v>0</v>
      </c>
      <c r="M70" s="161">
        <f t="shared" si="128"/>
        <v>0</v>
      </c>
      <c r="N70" s="82">
        <f t="shared" si="129"/>
        <v>0</v>
      </c>
      <c r="O70" s="82">
        <f t="shared" si="130"/>
        <v>0</v>
      </c>
      <c r="P70" s="262">
        <f t="shared" si="131"/>
        <v>0</v>
      </c>
      <c r="Q70" s="76">
        <f>VLOOKUP($D70,Engines_all!$A$3:'Engines_all'!$V$843,11,FALSE)</f>
        <v>555.11400000000003</v>
      </c>
      <c r="R70" s="78">
        <f>VLOOKUP($D70,Engines_all!$A$3:'Engines_all'!$V$843,12,FALSE)</f>
        <v>12.469081199999998</v>
      </c>
      <c r="S70" s="78">
        <f>VLOOKUP($D70,Engines_all!$A$3:'Engines_all'!$V$843,13,FALSE)</f>
        <v>4.2994800000000007E-2</v>
      </c>
      <c r="T70" s="78">
        <f>VLOOKUP($D70,Engines_all!$A$3:'Engines_all'!$V$843,14,FALSE)</f>
        <v>0.48181817999999998</v>
      </c>
      <c r="U70" s="78">
        <f>VLOOKUP($D70,Engines_all!$A$3:'Engines_all'!$V$843,15,FALSE)</f>
        <v>5.5630000166596076E-2</v>
      </c>
      <c r="V70" s="222">
        <f>VLOOKUP($D70,Engines_all!$A$3:'Engines_all'!$V$843,16,FALSE)</f>
        <v>3.3488597054422733E+17</v>
      </c>
      <c r="W70" s="77">
        <f t="shared" si="132"/>
        <v>0.277557</v>
      </c>
      <c r="X70" s="78">
        <f>IF(E70="K",Q70*'Rest Calc'!B$16,Q70*'Rest Calc'!B$17)</f>
        <v>1754.1602400000002</v>
      </c>
      <c r="Y70" s="76">
        <f>VLOOKUP($D70,Engines_all!$A$3:'Engines_all'!$V$843,17,FALSE)</f>
        <v>12780</v>
      </c>
      <c r="Z70" s="76">
        <f>VLOOKUP($D70,Engines_all!$A$3:'Engines_all'!$V$843,18,FALSE)</f>
        <v>62.622</v>
      </c>
      <c r="AA70" s="76">
        <f>VLOOKUP($D70,Engines_all!$A$3:'Engines_all'!$V$843,19,FALSE)</f>
        <v>21.2148</v>
      </c>
      <c r="AB70" s="76">
        <f>VLOOKUP($D70,Engines_all!$A$3:'Engines_all'!$V$843,20,FALSE)</f>
        <v>259.68959999999998</v>
      </c>
      <c r="AC70" s="76">
        <f>VLOOKUP($D70,Engines_all!$A$3:'Engines_all'!$V$843,21,FALSE)</f>
        <v>1.140895563777228</v>
      </c>
      <c r="AD70" s="222">
        <f>VLOOKUP($D70,Engines_all!$A$3:'Engines_all'!$V$843,22,FALSE)</f>
        <v>1.9390381331440544E+16</v>
      </c>
      <c r="AE70" s="80">
        <f t="shared" si="133"/>
        <v>6.3900000000000006</v>
      </c>
      <c r="AF70" s="79">
        <f>IF(E70="K",Y70*'Rest Calc'!B$16,Y70*'Rest Calc'!B$17)</f>
        <v>40384.800000000003</v>
      </c>
      <c r="AG70" s="79">
        <f>IF(ALECA_Input!D$121="Standard",VLOOKUP($B70,$A$211:$J$218,6,FALSE),VLOOKUP($B70,$A$211:$J$218,10,FALSE))</f>
        <v>0</v>
      </c>
      <c r="AH70" s="163">
        <f t="shared" si="157"/>
        <v>213.45</v>
      </c>
      <c r="AI70" s="75">
        <v>2</v>
      </c>
      <c r="AJ70" s="74"/>
      <c r="AK70" s="74"/>
      <c r="AL70" s="74"/>
    </row>
    <row r="71" spans="1:38" x14ac:dyDescent="0.25">
      <c r="A71" s="417" t="s">
        <v>3544</v>
      </c>
      <c r="B71" s="75" t="s">
        <v>393</v>
      </c>
      <c r="C71" s="74" t="s">
        <v>1608</v>
      </c>
      <c r="D71" s="74" t="s">
        <v>1607</v>
      </c>
      <c r="E71" s="75" t="s">
        <v>2936</v>
      </c>
      <c r="F71" s="136">
        <v>2</v>
      </c>
      <c r="G71" s="243">
        <f>VLOOKUP(D71,Engines_all!$A$3:$AZ$843,52,FALSE)</f>
        <v>267</v>
      </c>
      <c r="H71" s="74">
        <f>ALECA_Input!C37*ALECA_Input!F37</f>
        <v>0</v>
      </c>
      <c r="I71" s="82">
        <f t="shared" ref="I71" si="170">$H71/2*$F71*(R71+(Z71*$AG71/1000))</f>
        <v>0</v>
      </c>
      <c r="J71" s="82">
        <f t="shared" ref="J71" si="171">$H71/2*$F71*(S71+(AA71*$AG71/1000))</f>
        <v>0</v>
      </c>
      <c r="K71" s="82">
        <f t="shared" ref="K71" si="172">$H71/2*$F71*(T71+(AB71*$AG71/1000))</f>
        <v>0</v>
      </c>
      <c r="L71" s="82">
        <f t="shared" ref="L71" si="173">$H71/2*$F71*(U71+(AC71*$AG71/1000))</f>
        <v>0</v>
      </c>
      <c r="M71" s="161">
        <f t="shared" ref="M71" si="174">H71/2*$F71*(V71+AD71*AG71)</f>
        <v>0</v>
      </c>
      <c r="N71" s="82">
        <f t="shared" ref="N71" si="175">$H71/2*$F71*(W71+(AE71*$AG71/1000))</f>
        <v>0</v>
      </c>
      <c r="O71" s="82">
        <f t="shared" ref="O71" si="176">$H71/2*$F71*(X71+(AF71*$AG71/1000))</f>
        <v>0</v>
      </c>
      <c r="P71" s="262">
        <f t="shared" ref="P71" si="177">F71*H71/2*AH71/1000</f>
        <v>0</v>
      </c>
      <c r="Q71" s="76">
        <f>VLOOKUP($D71,Engines_all!$A$3:'Engines_all'!$V$843,11,FALSE)</f>
        <v>550.87800000000004</v>
      </c>
      <c r="R71" s="78">
        <f>VLOOKUP($D71,Engines_all!$A$3:'Engines_all'!$V$843,12,FALSE)</f>
        <v>10.74805038</v>
      </c>
      <c r="S71" s="78">
        <f>VLOOKUP($D71,Engines_all!$A$3:'Engines_all'!$V$843,13,FALSE)</f>
        <v>3.025512E-2</v>
      </c>
      <c r="T71" s="78">
        <f>VLOOKUP($D71,Engines_all!$A$3:'Engines_all'!$V$843,14,FALSE)</f>
        <v>0.28665042000000002</v>
      </c>
      <c r="U71" s="78">
        <f>VLOOKUP($D71,Engines_all!$A$3:'Engines_all'!$V$843,15,FALSE)</f>
        <v>4.3857911386904223E-2</v>
      </c>
      <c r="V71" s="222">
        <f>VLOOKUP($D71,Engines_all!$A$3:'Engines_all'!$V$843,16,FALSE)</f>
        <v>1.1203760063744602E+17</v>
      </c>
      <c r="W71" s="77">
        <f t="shared" ref="W71" si="178">Q71*0.0005</f>
        <v>0.27543900000000004</v>
      </c>
      <c r="X71" s="78">
        <f>IF(E71="K",Q71*'Rest Calc'!B$16,Q71*'Rest Calc'!B$17)</f>
        <v>1740.7744800000003</v>
      </c>
      <c r="Y71" s="76">
        <f>VLOOKUP($D71,Engines_all!$A$3:'Engines_all'!$V$843,17,FALSE)</f>
        <v>12299.999999999998</v>
      </c>
      <c r="Z71" s="76">
        <f>VLOOKUP($D71,Engines_all!$A$3:'Engines_all'!$V$843,18,FALSE)</f>
        <v>56.456999999999994</v>
      </c>
      <c r="AA71" s="76">
        <f>VLOOKUP($D71,Engines_all!$A$3:'Engines_all'!$V$843,19,FALSE)</f>
        <v>14.021999999999998</v>
      </c>
      <c r="AB71" s="76">
        <f>VLOOKUP($D71,Engines_all!$A$3:'Engines_all'!$V$843,20,FALSE)</f>
        <v>205.28700000000001</v>
      </c>
      <c r="AC71" s="76">
        <f>VLOOKUP($D71,Engines_all!$A$3:'Engines_all'!$V$843,21,FALSE)</f>
        <v>0.73029035094198502</v>
      </c>
      <c r="AD71" s="222">
        <f>VLOOKUP($D71,Engines_all!$A$3:'Engines_all'!$V$843,22,FALSE)</f>
        <v>2097346796247070.8</v>
      </c>
      <c r="AE71" s="80">
        <f t="shared" ref="AE71" si="179">Y71*0.0005</f>
        <v>6.1499999999999995</v>
      </c>
      <c r="AF71" s="79">
        <f>IF(E71="K",Y71*'Rest Calc'!B$16,Y71*'Rest Calc'!B$17)</f>
        <v>38867.999999999993</v>
      </c>
      <c r="AG71" s="79">
        <f>IF(ALECA_Input!D$121="Standard",VLOOKUP($B71,$A$211:$J$218,6,FALSE),VLOOKUP($B71,$A$211:$J$218,10,FALSE))</f>
        <v>0</v>
      </c>
      <c r="AH71" s="163">
        <f t="shared" ref="AH71" si="180">G71/2+80</f>
        <v>213.5</v>
      </c>
      <c r="AI71" s="75">
        <v>2</v>
      </c>
      <c r="AJ71" s="74"/>
      <c r="AK71" s="74"/>
      <c r="AL71" s="74"/>
    </row>
    <row r="72" spans="1:38" x14ac:dyDescent="0.25">
      <c r="A72" s="397" t="s">
        <v>3479</v>
      </c>
      <c r="B72" s="75" t="s">
        <v>383</v>
      </c>
      <c r="C72" s="74" t="s">
        <v>1936</v>
      </c>
      <c r="D72" s="74" t="s">
        <v>1935</v>
      </c>
      <c r="E72" s="75" t="s">
        <v>2936</v>
      </c>
      <c r="F72" s="136">
        <v>2</v>
      </c>
      <c r="G72" s="243">
        <f>VLOOKUP(D72,Engines_all!$A$3:$AZ$843,52,FALSE)</f>
        <v>408.3</v>
      </c>
      <c r="H72" s="74">
        <f>ALECA_Input!C25</f>
        <v>0</v>
      </c>
      <c r="I72" s="82">
        <f t="shared" ref="I72" si="181">$H72/2*$F72*(R72+(Z72*$AG72/1000))</f>
        <v>0</v>
      </c>
      <c r="J72" s="82">
        <f t="shared" ref="J72" si="182">$H72/2*$F72*(S72+(AA72*$AG72/1000))</f>
        <v>0</v>
      </c>
      <c r="K72" s="82">
        <f t="shared" ref="K72" si="183">$H72/2*$F72*(T72+(AB72*$AG72/1000))</f>
        <v>0</v>
      </c>
      <c r="L72" s="82">
        <f t="shared" ref="L72" si="184">$H72/2*$F72*(U72+(AC72*$AG72/1000))</f>
        <v>0</v>
      </c>
      <c r="M72" s="161">
        <f t="shared" ref="M72" si="185">H72/2*$F72*(V72+AD72*AG72)</f>
        <v>0</v>
      </c>
      <c r="N72" s="82">
        <f t="shared" ref="N72" si="186">$H72/2*$F72*(W72+(AE72*$AG72/1000))</f>
        <v>0</v>
      </c>
      <c r="O72" s="82">
        <f t="shared" ref="O72" si="187">$H72/2*$F72*(X72+(AF72*$AG72/1000))</f>
        <v>0</v>
      </c>
      <c r="P72" s="262">
        <f t="shared" ref="P72" si="188">F72*H72/2*AH72/1000</f>
        <v>0</v>
      </c>
      <c r="Q72" s="76">
        <f>VLOOKUP($D72,Engines_all!$A$3:'Engines_all'!$V$843,11,FALSE)</f>
        <v>795.32400000000007</v>
      </c>
      <c r="R72" s="78">
        <f>VLOOKUP($D72,Engines_all!$A$3:'Engines_all'!$V$843,12,FALSE)</f>
        <v>28.759560480000005</v>
      </c>
      <c r="S72" s="78">
        <f>VLOOKUP($D72,Engines_all!$A$3:'Engines_all'!$V$843,13,FALSE)</f>
        <v>2.0605680000000001E-2</v>
      </c>
      <c r="T72" s="78">
        <f>VLOOKUP($D72,Engines_all!$A$3:'Engines_all'!$V$843,14,FALSE)</f>
        <v>0.29634516</v>
      </c>
      <c r="U72" s="78">
        <f>VLOOKUP($D72,Engines_all!$A$3:'Engines_all'!$V$843,15,FALSE)</f>
        <v>6.6045096101346581E-2</v>
      </c>
      <c r="V72" s="222">
        <f>VLOOKUP($D72,Engines_all!$A$3:'Engines_all'!$V$843,16,FALSE)</f>
        <v>2.1416652208816819E+17</v>
      </c>
      <c r="W72" s="77">
        <f t="shared" ref="W72" si="189">Q72*0.0005</f>
        <v>0.39766200000000002</v>
      </c>
      <c r="X72" s="78">
        <f>IF(E72="K",Q72*'Rest Calc'!B$16,Q72*'Rest Calc'!B$17)</f>
        <v>2513.2238400000001</v>
      </c>
      <c r="Y72" s="76">
        <f>VLOOKUP($D72,Engines_all!$A$3:'Engines_all'!$V$843,17,FALSE)</f>
        <v>20280</v>
      </c>
      <c r="Z72" s="76">
        <f>VLOOKUP($D72,Engines_all!$A$3:'Engines_all'!$V$843,18,FALSE)</f>
        <v>90.854400000000012</v>
      </c>
      <c r="AA72" s="76">
        <f>VLOOKUP($D72,Engines_all!$A$3:'Engines_all'!$V$843,19,FALSE)</f>
        <v>13.9932</v>
      </c>
      <c r="AB72" s="76">
        <f>VLOOKUP($D72,Engines_all!$A$3:'Engines_all'!$V$843,20,FALSE)</f>
        <v>242.14320000000001</v>
      </c>
      <c r="AC72" s="76">
        <f>VLOOKUP($D72,Engines_all!$A$3:'Engines_all'!$V$843,21,FALSE)</f>
        <v>1.1741621000544047</v>
      </c>
      <c r="AD72" s="222">
        <f>VLOOKUP($D72,Engines_all!$A$3:'Engines_all'!$V$843,22,FALSE)</f>
        <v>4789185446908829</v>
      </c>
      <c r="AE72" s="80">
        <f t="shared" ref="AE72" si="190">Y72*0.0005</f>
        <v>10.14</v>
      </c>
      <c r="AF72" s="79">
        <f>IF(E72="K",Y72*'Rest Calc'!B$16,Y72*'Rest Calc'!B$17)</f>
        <v>64084.800000000003</v>
      </c>
      <c r="AG72" s="79">
        <f>IF(ALECA_Input!D$121="Standard",VLOOKUP($B72,$A$211:$J$218,6,FALSE),VLOOKUP($B72,$A$211:$J$218,10,FALSE))</f>
        <v>0</v>
      </c>
      <c r="AH72" s="163">
        <f t="shared" ref="AH72" si="191">G72/2+80</f>
        <v>284.14999999999998</v>
      </c>
      <c r="AI72" s="75">
        <v>1</v>
      </c>
      <c r="AJ72" s="74"/>
      <c r="AK72" s="74"/>
      <c r="AL72" s="74"/>
    </row>
    <row r="73" spans="1:38" x14ac:dyDescent="0.25">
      <c r="A73" s="417" t="s">
        <v>3478</v>
      </c>
      <c r="B73" s="75" t="s">
        <v>383</v>
      </c>
      <c r="C73" s="74" t="s">
        <v>1612</v>
      </c>
      <c r="D73" s="74" t="s">
        <v>1611</v>
      </c>
      <c r="E73" s="75" t="s">
        <v>2936</v>
      </c>
      <c r="F73" s="136">
        <v>2</v>
      </c>
      <c r="G73" s="243">
        <f>VLOOKUP(D73,Engines_all!$A$3:$AZ$843,52,FALSE)</f>
        <v>492.6</v>
      </c>
      <c r="H73" s="74">
        <f>ALECA_Input!C26*ALECA_Input!F26</f>
        <v>0</v>
      </c>
      <c r="I73" s="82">
        <f t="shared" si="124"/>
        <v>0</v>
      </c>
      <c r="J73" s="82">
        <f t="shared" si="125"/>
        <v>0</v>
      </c>
      <c r="K73" s="82">
        <f t="shared" si="126"/>
        <v>0</v>
      </c>
      <c r="L73" s="82">
        <f t="shared" si="127"/>
        <v>0</v>
      </c>
      <c r="M73" s="161">
        <f t="shared" si="128"/>
        <v>0</v>
      </c>
      <c r="N73" s="82">
        <f t="shared" si="129"/>
        <v>0</v>
      </c>
      <c r="O73" s="82">
        <f t="shared" si="130"/>
        <v>0</v>
      </c>
      <c r="P73" s="262">
        <f t="shared" si="131"/>
        <v>0</v>
      </c>
      <c r="Q73" s="76">
        <f>VLOOKUP($D73,Engines_all!$A$3:'Engines_all'!$V$843,11,FALSE)</f>
        <v>898.68000000000006</v>
      </c>
      <c r="R73" s="78">
        <f>VLOOKUP($D73,Engines_all!$A$3:'Engines_all'!$V$843,12,FALSE)</f>
        <v>27.658023600000003</v>
      </c>
      <c r="S73" s="78">
        <f>VLOOKUP($D73,Engines_all!$A$3:'Engines_all'!$V$843,13,FALSE)</f>
        <v>3.4736400000000001E-2</v>
      </c>
      <c r="T73" s="78">
        <f>VLOOKUP($D73,Engines_all!$A$3:'Engines_all'!$V$843,14,FALSE)</f>
        <v>0.63833160000000011</v>
      </c>
      <c r="U73" s="78">
        <f>VLOOKUP($D73,Engines_all!$A$3:'Engines_all'!$V$843,15,FALSE)</f>
        <v>5.91451985517037E-2</v>
      </c>
      <c r="V73" s="222">
        <f>VLOOKUP($D73,Engines_all!$A$3:'Engines_all'!$V$843,16,FALSE)</f>
        <v>1.9283085709415725E+17</v>
      </c>
      <c r="W73" s="77">
        <f t="shared" si="132"/>
        <v>0.44934000000000002</v>
      </c>
      <c r="X73" s="78">
        <f>IF(E73="K",Q73*'Rest Calc'!B$16,Q73*'Rest Calc'!B$17)</f>
        <v>2839.8288000000002</v>
      </c>
      <c r="Y73" s="76">
        <f>VLOOKUP($D73,Engines_all!$A$3:'Engines_all'!$V$843,17,FALSE)</f>
        <v>22200</v>
      </c>
      <c r="Z73" s="76">
        <f>VLOOKUP($D73,Engines_all!$A$3:'Engines_all'!$V$843,18,FALSE)</f>
        <v>113.44200000000001</v>
      </c>
      <c r="AA73" s="76">
        <f>VLOOKUP($D73,Engines_all!$A$3:'Engines_all'!$V$843,19,FALSE)</f>
        <v>101.00999999999999</v>
      </c>
      <c r="AB73" s="76">
        <f>VLOOKUP($D73,Engines_all!$A$3:'Engines_all'!$V$843,20,FALSE)</f>
        <v>901.09800000000007</v>
      </c>
      <c r="AC73" s="76">
        <f>VLOOKUP($D73,Engines_all!$A$3:'Engines_all'!$V$843,21,FALSE)</f>
        <v>1.8942127980795234</v>
      </c>
      <c r="AD73" s="222">
        <f>VLOOKUP($D73,Engines_all!$A$3:'Engines_all'!$V$843,22,FALSE)</f>
        <v>9287664411322842</v>
      </c>
      <c r="AE73" s="80">
        <f t="shared" si="133"/>
        <v>11.1</v>
      </c>
      <c r="AF73" s="79">
        <f>IF(E73="K",Y73*'Rest Calc'!B$16,Y73*'Rest Calc'!B$17)</f>
        <v>70152</v>
      </c>
      <c r="AG73" s="79">
        <f>IF(ALECA_Input!D$121="Standard",VLOOKUP($B73,$A$211:$J$218,6,FALSE),VLOOKUP($B73,$A$211:$J$218,10,FALSE))</f>
        <v>0</v>
      </c>
      <c r="AH73" s="163">
        <f t="shared" si="157"/>
        <v>326.3</v>
      </c>
      <c r="AI73" s="75">
        <v>1</v>
      </c>
      <c r="AJ73" s="74"/>
      <c r="AK73" s="74"/>
      <c r="AL73" s="74"/>
    </row>
    <row r="74" spans="1:38" x14ac:dyDescent="0.25">
      <c r="A74" s="417" t="s">
        <v>3480</v>
      </c>
      <c r="B74" s="75" t="s">
        <v>383</v>
      </c>
      <c r="C74" s="74" t="s">
        <v>1621</v>
      </c>
      <c r="D74" s="74" t="s">
        <v>1620</v>
      </c>
      <c r="E74" s="75" t="s">
        <v>2936</v>
      </c>
      <c r="F74" s="136">
        <v>2</v>
      </c>
      <c r="G74" s="243">
        <f>VLOOKUP(D74,Engines_all!$A$3:$AZ$843,52,FALSE)</f>
        <v>513.9</v>
      </c>
      <c r="H74" s="74">
        <f>ALECA_Input!C26*ALECA_Input!I26</f>
        <v>0</v>
      </c>
      <c r="I74" s="82">
        <f t="shared" si="124"/>
        <v>0</v>
      </c>
      <c r="J74" s="82">
        <f t="shared" si="125"/>
        <v>0</v>
      </c>
      <c r="K74" s="82">
        <f t="shared" si="126"/>
        <v>0</v>
      </c>
      <c r="L74" s="82">
        <f t="shared" si="127"/>
        <v>0</v>
      </c>
      <c r="M74" s="161">
        <f t="shared" si="128"/>
        <v>0</v>
      </c>
      <c r="N74" s="82">
        <f t="shared" si="129"/>
        <v>0</v>
      </c>
      <c r="O74" s="82">
        <f t="shared" si="130"/>
        <v>0</v>
      </c>
      <c r="P74" s="262">
        <f t="shared" si="131"/>
        <v>0</v>
      </c>
      <c r="Q74" s="76">
        <f>VLOOKUP($D74,Engines_all!$A$3:'Engines_all'!$V$843,11,FALSE)</f>
        <v>952.61999999999989</v>
      </c>
      <c r="R74" s="78">
        <f>VLOOKUP($D74,Engines_all!$A$3:'Engines_all'!$V$843,12,FALSE)</f>
        <v>31.820924399999996</v>
      </c>
      <c r="S74" s="78">
        <f>VLOOKUP($D74,Engines_all!$A$3:'Engines_all'!$V$843,13,FALSE)</f>
        <v>3.8684399999999994E-2</v>
      </c>
      <c r="T74" s="78">
        <f>VLOOKUP($D74,Engines_all!$A$3:'Engines_all'!$V$843,14,FALSE)</f>
        <v>0.58664520000000009</v>
      </c>
      <c r="U74" s="78">
        <f>VLOOKUP($D74,Engines_all!$A$3:'Engines_all'!$V$843,15,FALSE)</f>
        <v>6.5325082328197337E-2</v>
      </c>
      <c r="V74" s="222">
        <f>VLOOKUP($D74,Engines_all!$A$3:'Engines_all'!$V$843,16,FALSE)</f>
        <v>2.211911852096041E+17</v>
      </c>
      <c r="W74" s="77">
        <f t="shared" si="132"/>
        <v>0.47630999999999996</v>
      </c>
      <c r="X74" s="78">
        <f>IF(E74="K",Q74*'Rest Calc'!B$16,Q74*'Rest Calc'!B$17)</f>
        <v>3010.2791999999999</v>
      </c>
      <c r="Y74" s="76">
        <f>VLOOKUP($D74,Engines_all!$A$3:'Engines_all'!$V$843,17,FALSE)</f>
        <v>22800</v>
      </c>
      <c r="Z74" s="76">
        <f>VLOOKUP($D74,Engines_all!$A$3:'Engines_all'!$V$843,18,FALSE)</f>
        <v>118.33200000000001</v>
      </c>
      <c r="AA74" s="76">
        <f>VLOOKUP($D74,Engines_all!$A$3:'Engines_all'!$V$843,19,FALSE)</f>
        <v>96.672000000000011</v>
      </c>
      <c r="AB74" s="76">
        <f>VLOOKUP($D74,Engines_all!$A$3:'Engines_all'!$V$843,20,FALSE)</f>
        <v>891.70799999999997</v>
      </c>
      <c r="AC74" s="76">
        <f>VLOOKUP($D74,Engines_all!$A$3:'Engines_all'!$V$843,21,FALSE)</f>
        <v>1.8864236177539133</v>
      </c>
      <c r="AD74" s="222">
        <f>VLOOKUP($D74,Engines_all!$A$3:'Engines_all'!$V$843,22,FALSE)</f>
        <v>8762920641925158</v>
      </c>
      <c r="AE74" s="80">
        <f t="shared" si="133"/>
        <v>11.4</v>
      </c>
      <c r="AF74" s="79">
        <f>IF(E74="K",Y74*'Rest Calc'!B$16,Y74*'Rest Calc'!B$17)</f>
        <v>72048</v>
      </c>
      <c r="AG74" s="79">
        <f>IF(ALECA_Input!D$121="Standard",VLOOKUP($B74,$A$211:$J$218,6,FALSE),VLOOKUP($B74,$A$211:$J$218,10,FALSE))</f>
        <v>0</v>
      </c>
      <c r="AH74" s="163">
        <v>180</v>
      </c>
      <c r="AI74" s="75">
        <v>6</v>
      </c>
      <c r="AJ74" s="74"/>
      <c r="AK74" s="74"/>
      <c r="AL74" s="74"/>
    </row>
    <row r="75" spans="1:38" x14ac:dyDescent="0.25">
      <c r="A75" s="397" t="s">
        <v>3500</v>
      </c>
      <c r="B75" s="75" t="s">
        <v>383</v>
      </c>
      <c r="C75" s="74" t="s">
        <v>3460</v>
      </c>
      <c r="D75" s="74" t="s">
        <v>3470</v>
      </c>
      <c r="E75" s="75" t="s">
        <v>2936</v>
      </c>
      <c r="F75" s="136">
        <v>2</v>
      </c>
      <c r="G75" s="243">
        <f>VLOOKUP(D75,Engines_all!$A$3:$AZ$843,52,FALSE)</f>
        <v>454</v>
      </c>
      <c r="H75" s="74">
        <f>ALECA_Input!C27</f>
        <v>0</v>
      </c>
      <c r="I75" s="82">
        <f t="shared" ref="I75" si="192">$H75/2*$F75*(R75+(Z75*$AG75/1000))</f>
        <v>0</v>
      </c>
      <c r="J75" s="82">
        <f t="shared" ref="J75" si="193">$H75/2*$F75*(S75+(AA75*$AG75/1000))</f>
        <v>0</v>
      </c>
      <c r="K75" s="82">
        <f t="shared" ref="K75" si="194">$H75/2*$F75*(T75+(AB75*$AG75/1000))</f>
        <v>0</v>
      </c>
      <c r="L75" s="82">
        <f t="shared" ref="L75" si="195">$H75/2*$F75*(U75+(AC75*$AG75/1000))</f>
        <v>0</v>
      </c>
      <c r="M75" s="161">
        <f t="shared" ref="M75" si="196">H75/2*$F75*(V75+AD75*AG75)</f>
        <v>0</v>
      </c>
      <c r="N75" s="82">
        <f t="shared" ref="N75" si="197">$H75/2*$F75*(W75+(AE75*$AG75/1000))</f>
        <v>0</v>
      </c>
      <c r="O75" s="82">
        <f t="shared" ref="O75" si="198">$H75/2*$F75*(X75+(AF75*$AG75/1000))</f>
        <v>0</v>
      </c>
      <c r="P75" s="262">
        <f t="shared" ref="P75" si="199">F75*H75/2*AH75/1000</f>
        <v>0</v>
      </c>
      <c r="Q75" s="76">
        <f>VLOOKUP($D75,Engines_all!$A$3:'Engines_all'!$V$843,11,FALSE)</f>
        <v>593.14200000000005</v>
      </c>
      <c r="R75" s="78">
        <f>VLOOKUP($D75,Engines_all!$A$3:'Engines_all'!$V$843,12,FALSE)</f>
        <v>17.148004799999999</v>
      </c>
      <c r="S75" s="78">
        <f>VLOOKUP($D75,Engines_all!$A$3:'Engines_all'!$V$843,13,FALSE)</f>
        <v>1.765278E-2</v>
      </c>
      <c r="T75" s="78">
        <f>VLOOKUP($D75,Engines_all!$A$3:'Engines_all'!$V$843,14,FALSE)</f>
        <v>0.52867224000000002</v>
      </c>
      <c r="U75" s="78">
        <f>VLOOKUP($D75,Engines_all!$A$3:'Engines_all'!$V$843,15,FALSE)</f>
        <v>3.3909480429889678E-2</v>
      </c>
      <c r="V75" s="222">
        <f>VLOOKUP($D75,Engines_all!$A$3:'Engines_all'!$V$843,16,FALSE)</f>
        <v>1.1465780749317546E+17</v>
      </c>
      <c r="W75" s="77">
        <f t="shared" ref="W75" si="200">Q75*0.0005</f>
        <v>0.29657100000000003</v>
      </c>
      <c r="X75" s="78">
        <f>IF(E75="K",Q75*'Rest Calc'!B$16,Q75*'Rest Calc'!B$17)</f>
        <v>1874.3287200000002</v>
      </c>
      <c r="Y75" s="76">
        <f>VLOOKUP($D75,Engines_all!$A$3:'Engines_all'!$V$843,17,FALSE)</f>
        <v>14640</v>
      </c>
      <c r="Z75" s="76">
        <f>VLOOKUP($D75,Engines_all!$A$3:'Engines_all'!$V$843,18,FALSE)</f>
        <v>64.708799999999997</v>
      </c>
      <c r="AA75" s="76">
        <f>VLOOKUP($D75,Engines_all!$A$3:'Engines_all'!$V$843,19,FALSE)</f>
        <v>9.2232000000000003</v>
      </c>
      <c r="AB75" s="76">
        <f>VLOOKUP($D75,Engines_all!$A$3:'Engines_all'!$V$843,20,FALSE)</f>
        <v>288.11520000000002</v>
      </c>
      <c r="AC75" s="76">
        <f>VLOOKUP($D75,Engines_all!$A$3:'Engines_all'!$V$843,21,FALSE)</f>
        <v>1.5758208332172876</v>
      </c>
      <c r="AD75" s="222">
        <f>VLOOKUP($D75,Engines_all!$A$3:'Engines_all'!$V$843,22,FALSE)</f>
        <v>4.5456764782702488E+16</v>
      </c>
      <c r="AE75" s="80">
        <f t="shared" ref="AE75" si="201">Y75*0.0005</f>
        <v>7.32</v>
      </c>
      <c r="AF75" s="79">
        <f>IF(E75="K",Y75*'Rest Calc'!B$16,Y75*'Rest Calc'!B$17)</f>
        <v>46262.400000000001</v>
      </c>
      <c r="AG75" s="79">
        <f>IF(ALECA_Input!D$121="Standard",VLOOKUP($B75,$A$211:$J$218,6,FALSE),VLOOKUP($B75,$A$211:$J$218,10,FALSE))</f>
        <v>0</v>
      </c>
      <c r="AH75" s="163">
        <v>180</v>
      </c>
      <c r="AI75" s="75">
        <v>6</v>
      </c>
      <c r="AJ75" s="74"/>
      <c r="AK75" s="74"/>
      <c r="AL75" s="74"/>
    </row>
    <row r="76" spans="1:38" x14ac:dyDescent="0.25">
      <c r="A76" s="417" t="s">
        <v>3545</v>
      </c>
      <c r="B76" s="75" t="s">
        <v>393</v>
      </c>
      <c r="C76" s="74" t="s">
        <v>3115</v>
      </c>
      <c r="D76" s="414" t="s">
        <v>1706</v>
      </c>
      <c r="E76" s="75" t="s">
        <v>2936</v>
      </c>
      <c r="F76" s="136">
        <v>2</v>
      </c>
      <c r="G76" s="243">
        <f>VLOOKUP(D76,Engines_all!$A$3:$AZ$843,52,FALSE)</f>
        <v>321.60000000000002</v>
      </c>
      <c r="H76" s="74">
        <f>ALECA_Input!C38*ALECA_Input!F38</f>
        <v>0</v>
      </c>
      <c r="I76" s="82">
        <f t="shared" si="124"/>
        <v>0</v>
      </c>
      <c r="J76" s="82">
        <f t="shared" si="125"/>
        <v>0</v>
      </c>
      <c r="K76" s="82">
        <f t="shared" si="126"/>
        <v>0</v>
      </c>
      <c r="L76" s="82">
        <f t="shared" si="127"/>
        <v>0</v>
      </c>
      <c r="M76" s="161">
        <f t="shared" si="128"/>
        <v>0</v>
      </c>
      <c r="N76" s="82">
        <f t="shared" si="129"/>
        <v>0</v>
      </c>
      <c r="O76" s="82">
        <f t="shared" si="130"/>
        <v>0</v>
      </c>
      <c r="P76" s="262">
        <f t="shared" si="131"/>
        <v>0</v>
      </c>
      <c r="Q76" s="76">
        <f>VLOOKUP($D76,Engines_all!$A$3:'Engines_all'!$V$843,11,FALSE)</f>
        <v>529.63200000000006</v>
      </c>
      <c r="R76" s="78">
        <f>VLOOKUP($D76,Engines_all!$A$3:'Engines_all'!$V$843,12,FALSE)</f>
        <v>10.038973200000003</v>
      </c>
      <c r="S76" s="78">
        <f>VLOOKUP($D76,Engines_all!$A$3:'Engines_all'!$V$843,13,FALSE)</f>
        <v>1.6832639999999999E-2</v>
      </c>
      <c r="T76" s="78">
        <f>VLOOKUP($D76,Engines_all!$A$3:'Engines_all'!$V$843,14,FALSE)</f>
        <v>0.47077932000000011</v>
      </c>
      <c r="U76" s="78">
        <f>VLOOKUP($D76,Engines_all!$A$3:'Engines_all'!$V$843,15,FALSE)</f>
        <v>3.9238090077945105E-2</v>
      </c>
      <c r="V76" s="222">
        <f>VLOOKUP($D76,Engines_all!$A$3:'Engines_all'!$V$843,16,FALSE)</f>
        <v>5.8722092215627098E+17</v>
      </c>
      <c r="W76" s="77">
        <f t="shared" si="132"/>
        <v>0.26481600000000005</v>
      </c>
      <c r="X76" s="78">
        <f>IF(E76="K",Q76*'Rest Calc'!B$16,Q76*'Rest Calc'!B$17)</f>
        <v>1673.6371200000003</v>
      </c>
      <c r="Y76" s="76">
        <f>VLOOKUP($D76,Engines_all!$A$3:'Engines_all'!$V$843,17,FALSE)</f>
        <v>12479.999999999998</v>
      </c>
      <c r="Z76" s="76">
        <f>VLOOKUP($D76,Engines_all!$A$3:'Engines_all'!$V$843,18,FALSE)</f>
        <v>54.537599999999998</v>
      </c>
      <c r="AA76" s="76">
        <f>VLOOKUP($D76,Engines_all!$A$3:'Engines_all'!$V$843,19,FALSE)</f>
        <v>7.8623999999999992</v>
      </c>
      <c r="AB76" s="76">
        <f>VLOOKUP($D76,Engines_all!$A$3:'Engines_all'!$V$843,20,FALSE)</f>
        <v>245.60639999999998</v>
      </c>
      <c r="AC76" s="76">
        <f>VLOOKUP($D76,Engines_all!$A$3:'Engines_all'!$V$843,21,FALSE)</f>
        <v>0.7017067108094287</v>
      </c>
      <c r="AD76" s="222">
        <f>VLOOKUP($D76,Engines_all!$A$3:'Engines_all'!$V$843,22,FALSE)</f>
        <v>2128039676192149.8</v>
      </c>
      <c r="AE76" s="80">
        <f t="shared" si="133"/>
        <v>6.2399999999999993</v>
      </c>
      <c r="AF76" s="79">
        <f>IF(E76="K",Y76*'Rest Calc'!B$16,Y76*'Rest Calc'!B$17)</f>
        <v>39436.799999999996</v>
      </c>
      <c r="AG76" s="79">
        <f>IF(ALECA_Input!D$121="Standard",VLOOKUP($B76,$A$211:$J$218,6,FALSE),VLOOKUP($B76,$A$211:$J$218,10,FALSE))</f>
        <v>0</v>
      </c>
      <c r="AH76" s="163">
        <f>G76/2+80</f>
        <v>240.8</v>
      </c>
      <c r="AI76" s="75">
        <v>2</v>
      </c>
      <c r="AJ76" s="74"/>
      <c r="AK76" s="74"/>
      <c r="AL76" s="74"/>
    </row>
    <row r="77" spans="1:38" x14ac:dyDescent="0.25">
      <c r="A77" s="417" t="s">
        <v>3477</v>
      </c>
      <c r="B77" s="75" t="s">
        <v>393</v>
      </c>
      <c r="C77" s="74" t="s">
        <v>2369</v>
      </c>
      <c r="D77" s="74" t="s">
        <v>2368</v>
      </c>
      <c r="E77" s="75" t="s">
        <v>2936</v>
      </c>
      <c r="F77" s="136">
        <v>2</v>
      </c>
      <c r="G77" s="243">
        <f>VLOOKUP(D77,Engines_all!$A$3:$AZ$843,52,FALSE)</f>
        <v>310.89999999999998</v>
      </c>
      <c r="H77" s="74">
        <f>ALECA_Input!C38*ALECA_Input!I38</f>
        <v>0</v>
      </c>
      <c r="I77" s="82">
        <f t="shared" ref="I77:I78" si="202">$H77/2*$F77*(R77+(Z77*$AG77/1000))</f>
        <v>0</v>
      </c>
      <c r="J77" s="82">
        <f t="shared" ref="J77:J78" si="203">$H77/2*$F77*(S77+(AA77*$AG77/1000))</f>
        <v>0</v>
      </c>
      <c r="K77" s="82">
        <f t="shared" ref="K77:K78" si="204">$H77/2*$F77*(T77+(AB77*$AG77/1000))</f>
        <v>0</v>
      </c>
      <c r="L77" s="82">
        <f t="shared" ref="L77:L78" si="205">$H77/2*$F77*(U77+(AC77*$AG77/1000))</f>
        <v>0</v>
      </c>
      <c r="M77" s="161">
        <f t="shared" ref="M77:M78" si="206">H77/2*$F77*(V77+AD77*AG77)</f>
        <v>0</v>
      </c>
      <c r="N77" s="82">
        <f t="shared" ref="N77:N78" si="207">$H77/2*$F77*(W77+(AE77*$AG77/1000))</f>
        <v>0</v>
      </c>
      <c r="O77" s="82">
        <f t="shared" ref="O77:O78" si="208">$H77/2*$F77*(X77+(AF77*$AG77/1000))</f>
        <v>0</v>
      </c>
      <c r="P77" s="262">
        <f t="shared" ref="P77:P78" si="209">F77*H77/2*AH77/1000</f>
        <v>0</v>
      </c>
      <c r="Q77" s="76">
        <f>VLOOKUP($D77,Engines_all!$A$3:'Engines_all'!$V$843,11,FALSE)</f>
        <v>494.11200000000002</v>
      </c>
      <c r="R77" s="78">
        <f>VLOOKUP($D77,Engines_all!$A$3:'Engines_all'!$V$843,12,FALSE)</f>
        <v>15.200677199999999</v>
      </c>
      <c r="S77" s="78">
        <f>VLOOKUP($D77,Engines_all!$A$3:'Engines_all'!$V$843,13,FALSE)</f>
        <v>0</v>
      </c>
      <c r="T77" s="78">
        <f>VLOOKUP($D77,Engines_all!$A$3:'Engines_all'!$V$843,14,FALSE)</f>
        <v>0.27602928000000004</v>
      </c>
      <c r="U77" s="78">
        <f>VLOOKUP($D77,Engines_all!$A$3:'Engines_all'!$V$843,15,FALSE)</f>
        <v>4.1829444131996678E-2</v>
      </c>
      <c r="V77" s="222">
        <f>VLOOKUP($D77,Engines_all!$A$3:'Engines_all'!$V$843,16,FALSE)</f>
        <v>4.0883512684908934E+17</v>
      </c>
      <c r="W77" s="77">
        <f t="shared" ref="W77:W78" si="210">Q77*0.0005</f>
        <v>0.24705600000000003</v>
      </c>
      <c r="X77" s="78">
        <f>IF(E77="K",Q77*'Rest Calc'!B$16,Q77*'Rest Calc'!B$17)</f>
        <v>1561.3939200000002</v>
      </c>
      <c r="Y77" s="76">
        <f>VLOOKUP($D77,Engines_all!$A$3:'Engines_all'!$V$843,17,FALSE)</f>
        <v>14700</v>
      </c>
      <c r="Z77" s="76">
        <f>VLOOKUP($D77,Engines_all!$A$3:'Engines_all'!$V$843,18,FALSE)</f>
        <v>80.555999999999997</v>
      </c>
      <c r="AA77" s="76">
        <f>VLOOKUP($D77,Engines_all!$A$3:'Engines_all'!$V$843,19,FALSE)</f>
        <v>0.58799999999999997</v>
      </c>
      <c r="AB77" s="76">
        <f>VLOOKUP($D77,Engines_all!$A$3:'Engines_all'!$V$843,20,FALSE)</f>
        <v>123.48</v>
      </c>
      <c r="AC77" s="76">
        <f>VLOOKUP($D77,Engines_all!$A$3:'Engines_all'!$V$843,21,FALSE)</f>
        <v>0.80162887419337625</v>
      </c>
      <c r="AD77" s="222">
        <f>VLOOKUP($D77,Engines_all!$A$3:'Engines_all'!$V$843,22,FALSE)</f>
        <v>3950261992595791</v>
      </c>
      <c r="AE77" s="80">
        <f t="shared" ref="AE77:AE78" si="211">Y77*0.0005</f>
        <v>7.3500000000000005</v>
      </c>
      <c r="AF77" s="79">
        <f>IF(E77="K",Y77*'Rest Calc'!B$16,Y77*'Rest Calc'!B$17)</f>
        <v>46452</v>
      </c>
      <c r="AG77" s="79">
        <f>IF(ALECA_Input!D$121="Standard",VLOOKUP($B77,$A$211:$J$218,6,FALSE),VLOOKUP($B77,$A$211:$J$218,10,FALSE))</f>
        <v>0</v>
      </c>
      <c r="AH77" s="163">
        <f>G77/2+80</f>
        <v>235.45</v>
      </c>
      <c r="AI77" s="75">
        <v>2</v>
      </c>
      <c r="AJ77" s="74"/>
      <c r="AK77" s="74"/>
      <c r="AL77" s="74"/>
    </row>
    <row r="78" spans="1:38" x14ac:dyDescent="0.25">
      <c r="A78" s="397" t="s">
        <v>3483</v>
      </c>
      <c r="B78" s="75" t="s">
        <v>383</v>
      </c>
      <c r="C78" s="74" t="s">
        <v>1918</v>
      </c>
      <c r="D78" s="74" t="s">
        <v>2002</v>
      </c>
      <c r="E78" s="75" t="s">
        <v>2936</v>
      </c>
      <c r="F78" s="136">
        <v>4</v>
      </c>
      <c r="G78" s="243">
        <f>VLOOKUP(D78,Engines_all!$A$3:$AZ$843,52,FALSE)</f>
        <v>182.02</v>
      </c>
      <c r="H78" s="74">
        <f>ALECA_Input!C28</f>
        <v>0</v>
      </c>
      <c r="I78" s="82">
        <f t="shared" si="202"/>
        <v>0</v>
      </c>
      <c r="J78" s="82">
        <f t="shared" si="203"/>
        <v>0</v>
      </c>
      <c r="K78" s="82">
        <f t="shared" si="204"/>
        <v>0</v>
      </c>
      <c r="L78" s="82">
        <f t="shared" si="205"/>
        <v>0</v>
      </c>
      <c r="M78" s="161">
        <f t="shared" si="206"/>
        <v>0</v>
      </c>
      <c r="N78" s="82">
        <f t="shared" si="207"/>
        <v>0</v>
      </c>
      <c r="O78" s="82">
        <f t="shared" si="208"/>
        <v>0</v>
      </c>
      <c r="P78" s="262">
        <f t="shared" si="209"/>
        <v>0</v>
      </c>
      <c r="Q78" s="76">
        <f>VLOOKUP($D78,Engines_all!$A$3:'Engines_all'!$V$843,11,FALSE)</f>
        <v>383.36400000000003</v>
      </c>
      <c r="R78" s="78">
        <f>VLOOKUP($D78,Engines_all!$A$3:'Engines_all'!$V$843,12,FALSE)</f>
        <v>8.9046117600000017</v>
      </c>
      <c r="S78" s="78">
        <f>VLOOKUP($D78,Engines_all!$A$3:'Engines_all'!$V$843,13,FALSE)</f>
        <v>1.645464E-2</v>
      </c>
      <c r="T78" s="78">
        <f>VLOOKUP($D78,Engines_all!$A$3:'Engines_all'!$V$843,14,FALSE)</f>
        <v>0.27078708000000001</v>
      </c>
      <c r="U78" s="78">
        <f>VLOOKUP($D78,Engines_all!$A$3:'Engines_all'!$V$843,15,FALSE)</f>
        <v>4.1480798283169425E-2</v>
      </c>
      <c r="V78" s="222">
        <f>VLOOKUP($D78,Engines_all!$A$3:'Engines_all'!$V$843,16,FALSE)</f>
        <v>3.3211069544129312E+17</v>
      </c>
      <c r="W78" s="77">
        <f t="shared" si="210"/>
        <v>0.19168200000000002</v>
      </c>
      <c r="X78" s="78">
        <f>IF(E78="K",Q78*'Rest Calc'!B$16,Q78*'Rest Calc'!B$17)</f>
        <v>1211.4302400000001</v>
      </c>
      <c r="Y78" s="76">
        <f>VLOOKUP($D78,Engines_all!$A$3:'Engines_all'!$V$843,17,FALSE)</f>
        <v>9540.0000000000018</v>
      </c>
      <c r="Z78" s="76">
        <f>VLOOKUP($D78,Engines_all!$A$3:'Engines_all'!$V$843,18,FALSE)</f>
        <v>41.689800000000005</v>
      </c>
      <c r="AA78" s="76">
        <f>VLOOKUP($D78,Engines_all!$A$3:'Engines_all'!$V$843,19,FALSE)</f>
        <v>15.741000000000003</v>
      </c>
      <c r="AB78" s="76">
        <f>VLOOKUP($D78,Engines_all!$A$3:'Engines_all'!$V$843,20,FALSE)</f>
        <v>190.32300000000001</v>
      </c>
      <c r="AC78" s="76">
        <f>VLOOKUP($D78,Engines_all!$A$3:'Engines_all'!$V$843,21,FALSE)</f>
        <v>1.0161386769429412</v>
      </c>
      <c r="AD78" s="222">
        <f>VLOOKUP($D78,Engines_all!$A$3:'Engines_all'!$V$843,22,FALSE)</f>
        <v>2.2803671954181164E+16</v>
      </c>
      <c r="AE78" s="80">
        <f t="shared" si="211"/>
        <v>4.7700000000000014</v>
      </c>
      <c r="AF78" s="79">
        <f>IF(E78="K",Y78*'Rest Calc'!B$16,Y78*'Rest Calc'!B$17)</f>
        <v>30146.400000000009</v>
      </c>
      <c r="AG78" s="79">
        <f>IF(ALECA_Input!D$121="Standard",VLOOKUP($B78,$A$211:$J$218,6,FALSE),VLOOKUP($B78,$A$211:$J$218,10,FALSE))</f>
        <v>0</v>
      </c>
      <c r="AH78" s="163">
        <f t="shared" ref="AH78" si="212">G78/2+80</f>
        <v>171.01</v>
      </c>
      <c r="AI78" s="75">
        <v>3</v>
      </c>
      <c r="AJ78" s="74"/>
      <c r="AK78" s="74"/>
      <c r="AL78" s="74"/>
    </row>
    <row r="79" spans="1:38" x14ac:dyDescent="0.25">
      <c r="A79" s="74" t="s">
        <v>249</v>
      </c>
      <c r="B79" s="75" t="s">
        <v>386</v>
      </c>
      <c r="C79" s="74" t="s">
        <v>248</v>
      </c>
      <c r="D79" s="74" t="s">
        <v>2749</v>
      </c>
      <c r="E79" s="75" t="s">
        <v>2936</v>
      </c>
      <c r="F79" s="136">
        <v>2</v>
      </c>
      <c r="G79" s="243">
        <f>VLOOKUP(D79,Engines_all!$A$3:$AZ$843,52,FALSE)</f>
        <v>0</v>
      </c>
      <c r="H79" s="74">
        <f>ALECA_Input!C82</f>
        <v>0</v>
      </c>
      <c r="I79" s="82">
        <f t="shared" si="124"/>
        <v>0</v>
      </c>
      <c r="J79" s="82">
        <f t="shared" si="125"/>
        <v>0</v>
      </c>
      <c r="K79" s="82">
        <f t="shared" si="126"/>
        <v>0</v>
      </c>
      <c r="L79" s="82">
        <f t="shared" si="127"/>
        <v>0</v>
      </c>
      <c r="M79" s="161">
        <f t="shared" si="128"/>
        <v>0</v>
      </c>
      <c r="N79" s="82">
        <f t="shared" si="129"/>
        <v>0</v>
      </c>
      <c r="O79" s="82">
        <f t="shared" si="130"/>
        <v>0</v>
      </c>
      <c r="P79" s="262">
        <f t="shared" si="131"/>
        <v>0</v>
      </c>
      <c r="Q79" s="76">
        <f>VLOOKUP($D79,Engines_all!$A$3:'Engines_all'!$V$843,11,FALSE)</f>
        <v>67.62</v>
      </c>
      <c r="R79" s="78">
        <f>VLOOKUP($D79,Engines_all!$A$3:'Engines_all'!$V$843,12,FALSE)</f>
        <v>0.64956361200000001</v>
      </c>
      <c r="S79" s="78">
        <f>VLOOKUP($D79,Engines_all!$A$3:'Engines_all'!$V$843,13,FALSE)</f>
        <v>3.3919199999999997E-3</v>
      </c>
      <c r="T79" s="78">
        <f>VLOOKUP($D79,Engines_all!$A$3:'Engines_all'!$V$843,14,FALSE)</f>
        <v>0.219338328</v>
      </c>
      <c r="U79" s="78">
        <f>VLOOKUP($D79,Engines_all!$A$3:'Engines_all'!$V$843,15,FALSE)</f>
        <v>3.3949843440000002E-2</v>
      </c>
      <c r="V79" s="222">
        <f>VLOOKUP($D79,Engines_all!$A$3:'Engines_all'!$V$843,16,FALSE)</f>
        <v>8.4136599418709274E+17</v>
      </c>
      <c r="W79" s="77">
        <f t="shared" si="132"/>
        <v>3.381E-2</v>
      </c>
      <c r="X79" s="78">
        <f>IF(E79="K",Q79*'Rest Calc'!B$16,Q79*'Rest Calc'!B$17)</f>
        <v>213.67920000000004</v>
      </c>
      <c r="Y79" s="76">
        <f>VLOOKUP($D79,Engines_all!$A$3:'Engines_all'!$V$843,17,FALSE)</f>
        <v>3126</v>
      </c>
      <c r="Z79" s="76">
        <f>VLOOKUP($D79,Engines_all!$A$3:'Engines_all'!$V$843,18,FALSE)</f>
        <v>7.5367860000000002</v>
      </c>
      <c r="AA79" s="76">
        <f>VLOOKUP($D79,Engines_all!$A$3:'Engines_all'!$V$843,19,FALSE)</f>
        <v>3.554262</v>
      </c>
      <c r="AB79" s="76">
        <f>VLOOKUP($D79,Engines_all!$A$3:'Engines_all'!$V$843,20,FALSE)</f>
        <v>53.948507999999997</v>
      </c>
      <c r="AC79" s="76">
        <f>VLOOKUP($D79,Engines_all!$A$3:'Engines_all'!$V$843,21,FALSE)</f>
        <v>1.11277875654</v>
      </c>
      <c r="AD79" s="222">
        <f>VLOOKUP($D79,Engines_all!$A$3:'Engines_all'!$V$843,22,FALSE)</f>
        <v>5.314457798821364E+16</v>
      </c>
      <c r="AE79" s="80">
        <f t="shared" si="133"/>
        <v>1.5629999999999999</v>
      </c>
      <c r="AF79" s="79">
        <f>IF(E79="K",Y79*'Rest Calc'!B$16,Y79*'Rest Calc'!B$17)</f>
        <v>9878.16</v>
      </c>
      <c r="AG79" s="79">
        <f>IF(ALECA_Input!D$121="Standard",VLOOKUP($B79,$A$211:$J$218,6,FALSE),VLOOKUP($B79,$A$211:$J$218,10,FALSE))</f>
        <v>0</v>
      </c>
      <c r="AH79" s="163">
        <v>180</v>
      </c>
      <c r="AI79" s="75">
        <v>6</v>
      </c>
      <c r="AJ79" s="74"/>
      <c r="AK79" s="74"/>
      <c r="AL79" s="74"/>
    </row>
    <row r="80" spans="1:38" x14ac:dyDescent="0.25">
      <c r="A80" s="74" t="s">
        <v>453</v>
      </c>
      <c r="B80" s="75" t="s">
        <v>396</v>
      </c>
      <c r="C80" s="74" t="s">
        <v>250</v>
      </c>
      <c r="D80" s="74" t="s">
        <v>669</v>
      </c>
      <c r="E80" s="75" t="s">
        <v>2936</v>
      </c>
      <c r="F80" s="136">
        <v>2</v>
      </c>
      <c r="G80" s="243">
        <f>VLOOKUP(D80,Engines_all!$A$3:$AZ$843,52,FALSE)</f>
        <v>33.4</v>
      </c>
      <c r="H80" s="74">
        <f>ALECA_Input!C83</f>
        <v>0</v>
      </c>
      <c r="I80" s="82">
        <f t="shared" si="124"/>
        <v>0</v>
      </c>
      <c r="J80" s="82">
        <f t="shared" si="125"/>
        <v>0</v>
      </c>
      <c r="K80" s="82">
        <f t="shared" si="126"/>
        <v>0</v>
      </c>
      <c r="L80" s="82">
        <f t="shared" si="127"/>
        <v>0</v>
      </c>
      <c r="M80" s="161">
        <f t="shared" si="128"/>
        <v>0</v>
      </c>
      <c r="N80" s="82">
        <f t="shared" si="129"/>
        <v>0</v>
      </c>
      <c r="O80" s="82">
        <f t="shared" si="130"/>
        <v>0</v>
      </c>
      <c r="P80" s="262">
        <f t="shared" si="131"/>
        <v>0</v>
      </c>
      <c r="Q80" s="76">
        <f>VLOOKUP($D80,Engines_all!$A$3:'Engines_all'!$V$843,11,FALSE)</f>
        <v>87.63900000000001</v>
      </c>
      <c r="R80" s="78">
        <f>VLOOKUP($D80,Engines_all!$A$3:'Engines_all'!$V$843,12,FALSE)</f>
        <v>0.92141961000000017</v>
      </c>
      <c r="S80" s="78">
        <f>VLOOKUP($D80,Engines_all!$A$3:'Engines_all'!$V$843,13,FALSE)</f>
        <v>6.4657895999999998E-3</v>
      </c>
      <c r="T80" s="78">
        <f>VLOOKUP($D80,Engines_all!$A$3:'Engines_all'!$V$843,14,FALSE)</f>
        <v>0.13120104000000002</v>
      </c>
      <c r="U80" s="78">
        <f>VLOOKUP($D80,Engines_all!$A$3:'Engines_all'!$V$843,15,FALSE)</f>
        <v>1.1920685279738212E-2</v>
      </c>
      <c r="V80" s="222">
        <f>VLOOKUP($D80,Engines_all!$A$3:'Engines_all'!$V$843,16,FALSE)</f>
        <v>1.6898628795935536E+17</v>
      </c>
      <c r="W80" s="77">
        <f t="shared" si="132"/>
        <v>4.3819500000000004E-2</v>
      </c>
      <c r="X80" s="78">
        <f>IF(E80="K",Q80*'Rest Calc'!B$16,Q80*'Rest Calc'!B$17)</f>
        <v>276.93924000000004</v>
      </c>
      <c r="Y80" s="76">
        <f>VLOOKUP($D80,Engines_all!$A$3:'Engines_all'!$V$843,17,FALSE)</f>
        <v>2862</v>
      </c>
      <c r="Z80" s="76">
        <f>VLOOKUP($D80,Engines_all!$A$3:'Engines_all'!$V$843,18,FALSE)</f>
        <v>9.6735600000000002</v>
      </c>
      <c r="AA80" s="76">
        <f>VLOOKUP($D80,Engines_all!$A$3:'Engines_all'!$V$843,19,FALSE)</f>
        <v>19.032300000000003</v>
      </c>
      <c r="AB80" s="76">
        <f>VLOOKUP($D80,Engines_all!$A$3:'Engines_all'!$V$843,20,FALSE)</f>
        <v>130.59306000000001</v>
      </c>
      <c r="AC80" s="76">
        <f>VLOOKUP($D80,Engines_all!$A$3:'Engines_all'!$V$843,21,FALSE)</f>
        <v>0.37081069444632681</v>
      </c>
      <c r="AD80" s="222">
        <f>VLOOKUP($D80,Engines_all!$A$3:'Engines_all'!$V$843,22,FALSE)</f>
        <v>5714708358769414</v>
      </c>
      <c r="AE80" s="80">
        <f t="shared" si="133"/>
        <v>1.431</v>
      </c>
      <c r="AF80" s="79">
        <f>IF(E80="K",Y80*'Rest Calc'!B$16,Y80*'Rest Calc'!B$17)</f>
        <v>9043.92</v>
      </c>
      <c r="AG80" s="79">
        <f>IF(ALECA_Input!D$121="Standard",VLOOKUP($B80,$A$211:$J$218,6,FALSE),VLOOKUP($B80,$A$211:$J$218,10,FALSE))</f>
        <v>0</v>
      </c>
      <c r="AH80" s="163">
        <f>G80/2+80</f>
        <v>96.7</v>
      </c>
      <c r="AI80" s="75">
        <v>5</v>
      </c>
      <c r="AJ80" s="74"/>
      <c r="AK80" s="74"/>
      <c r="AL80" s="74"/>
    </row>
    <row r="81" spans="1:38" x14ac:dyDescent="0.25">
      <c r="A81" s="74" t="s">
        <v>251</v>
      </c>
      <c r="B81" s="75" t="s">
        <v>386</v>
      </c>
      <c r="C81" s="74" t="s">
        <v>252</v>
      </c>
      <c r="D81" s="74" t="s">
        <v>225</v>
      </c>
      <c r="E81" s="75" t="s">
        <v>2936</v>
      </c>
      <c r="F81" s="136">
        <v>2</v>
      </c>
      <c r="G81" s="243">
        <f>VLOOKUP(D81,Engines_all!$A$3:$AZ$843,52,FALSE)</f>
        <v>0</v>
      </c>
      <c r="H81" s="74">
        <f>ALECA_Input!C84</f>
        <v>0</v>
      </c>
      <c r="I81" s="82">
        <f t="shared" si="124"/>
        <v>0</v>
      </c>
      <c r="J81" s="82">
        <f t="shared" si="125"/>
        <v>0</v>
      </c>
      <c r="K81" s="82">
        <f t="shared" si="126"/>
        <v>0</v>
      </c>
      <c r="L81" s="82">
        <f t="shared" si="127"/>
        <v>0</v>
      </c>
      <c r="M81" s="161">
        <f t="shared" si="128"/>
        <v>0</v>
      </c>
      <c r="N81" s="82">
        <f t="shared" si="129"/>
        <v>0</v>
      </c>
      <c r="O81" s="82">
        <f t="shared" si="130"/>
        <v>0</v>
      </c>
      <c r="P81" s="262">
        <f t="shared" si="131"/>
        <v>0</v>
      </c>
      <c r="Q81" s="76">
        <f>VLOOKUP($D81,Engines_all!$A$3:'Engines_all'!$V$843,11,FALSE)</f>
        <v>17.960999999999999</v>
      </c>
      <c r="R81" s="78">
        <f>VLOOKUP($D81,Engines_all!$A$3:'Engines_all'!$V$843,12,FALSE)</f>
        <v>0.19738326</v>
      </c>
      <c r="S81" s="78">
        <f>VLOOKUP($D81,Engines_all!$A$3:'Engines_all'!$V$843,13,FALSE)</f>
        <v>6.792359999999999E-3</v>
      </c>
      <c r="T81" s="78">
        <f>VLOOKUP($D81,Engines_all!$A$3:'Engines_all'!$V$843,14,FALSE)</f>
        <v>6.8644800000000006E-2</v>
      </c>
      <c r="U81" s="78">
        <f>VLOOKUP($D81,Engines_all!$A$3:'Engines_all'!$V$843,15,FALSE)</f>
        <v>6.0467837099999998E-3</v>
      </c>
      <c r="V81" s="222">
        <f>VLOOKUP($D81,Engines_all!$A$3:'Engines_all'!$V$843,16,FALSE)</f>
        <v>1.3176402274008154E+17</v>
      </c>
      <c r="W81" s="77">
        <f t="shared" si="132"/>
        <v>8.9804999999999989E-3</v>
      </c>
      <c r="X81" s="78">
        <f>IF(E81="K",Q81*'Rest Calc'!B$16,Q81*'Rest Calc'!B$17)</f>
        <v>56.75676</v>
      </c>
      <c r="Y81" s="76">
        <f>VLOOKUP($D81,Engines_all!$A$3:'Engines_all'!$V$843,17,FALSE)</f>
        <v>846</v>
      </c>
      <c r="Z81" s="76">
        <f>VLOOKUP($D81,Engines_all!$A$3:'Engines_all'!$V$843,18,FALSE)</f>
        <v>2.4195599999999997</v>
      </c>
      <c r="AA81" s="76">
        <f>VLOOKUP($D81,Engines_all!$A$3:'Engines_all'!$V$843,19,FALSE)</f>
        <v>66.927059999999997</v>
      </c>
      <c r="AB81" s="76">
        <f>VLOOKUP($D81,Engines_all!$A$3:'Engines_all'!$V$843,20,FALSE)</f>
        <v>52.028999999999996</v>
      </c>
      <c r="AC81" s="76">
        <f>VLOOKUP($D81,Engines_all!$A$3:'Engines_all'!$V$843,21,FALSE)</f>
        <v>0.60029512019999998</v>
      </c>
      <c r="AD81" s="222">
        <f>VLOOKUP($D81,Engines_all!$A$3:'Engines_all'!$V$843,22,FALSE)</f>
        <v>8270051171582382</v>
      </c>
      <c r="AE81" s="80">
        <f t="shared" si="133"/>
        <v>0.42299999999999999</v>
      </c>
      <c r="AF81" s="79">
        <f>IF(E81="K",Y81*'Rest Calc'!B$16,Y81*'Rest Calc'!B$17)</f>
        <v>2673.36</v>
      </c>
      <c r="AG81" s="79">
        <f>IF(ALECA_Input!D$121="Standard",VLOOKUP($B81,$A$211:$J$218,6,FALSE),VLOOKUP($B81,$A$211:$J$218,10,FALSE))</f>
        <v>0</v>
      </c>
      <c r="AH81" s="163">
        <v>180</v>
      </c>
      <c r="AI81" s="75">
        <v>6</v>
      </c>
      <c r="AJ81" s="74"/>
      <c r="AK81" s="74"/>
      <c r="AL81" s="74"/>
    </row>
    <row r="82" spans="1:38" x14ac:dyDescent="0.25">
      <c r="A82" s="74" t="s">
        <v>253</v>
      </c>
      <c r="B82" s="75" t="s">
        <v>386</v>
      </c>
      <c r="C82" s="74" t="s">
        <v>254</v>
      </c>
      <c r="D82" s="74" t="s">
        <v>2713</v>
      </c>
      <c r="E82" s="75" t="s">
        <v>2936</v>
      </c>
      <c r="F82" s="136">
        <v>2</v>
      </c>
      <c r="G82" s="243">
        <f>VLOOKUP(D82,Engines_all!$A$3:$AZ$843,52,FALSE)</f>
        <v>0</v>
      </c>
      <c r="H82" s="74">
        <f>ALECA_Input!C85</f>
        <v>0</v>
      </c>
      <c r="I82" s="82">
        <f t="shared" si="124"/>
        <v>0</v>
      </c>
      <c r="J82" s="82">
        <f t="shared" si="125"/>
        <v>0</v>
      </c>
      <c r="K82" s="82">
        <f t="shared" si="126"/>
        <v>0</v>
      </c>
      <c r="L82" s="82">
        <f t="shared" si="127"/>
        <v>0</v>
      </c>
      <c r="M82" s="161">
        <f t="shared" si="128"/>
        <v>0</v>
      </c>
      <c r="N82" s="82">
        <f t="shared" si="129"/>
        <v>0</v>
      </c>
      <c r="O82" s="82">
        <f t="shared" si="130"/>
        <v>0</v>
      </c>
      <c r="P82" s="262">
        <f t="shared" si="131"/>
        <v>0</v>
      </c>
      <c r="Q82" s="76">
        <f>VLOOKUP($D82,Engines_all!$A$3:'Engines_all'!$V$843,11,FALSE)</f>
        <v>29.543999999999997</v>
      </c>
      <c r="R82" s="78">
        <f>VLOOKUP($D82,Engines_all!$A$3:'Engines_all'!$V$843,12,FALSE)</f>
        <v>0.32933921999999993</v>
      </c>
      <c r="S82" s="78">
        <f>VLOOKUP($D82,Engines_all!$A$3:'Engines_all'!$V$843,13,FALSE)</f>
        <v>4.6596059999999995E-2</v>
      </c>
      <c r="T82" s="78">
        <f>VLOOKUP($D82,Engines_all!$A$3:'Engines_all'!$V$843,14,FALSE)</f>
        <v>0.30232101</v>
      </c>
      <c r="U82" s="78">
        <f>VLOOKUP($D82,Engines_all!$A$3:'Engines_all'!$V$843,15,FALSE)</f>
        <v>1.52992237275E-2</v>
      </c>
      <c r="V82" s="222">
        <f>VLOOKUP($D82,Engines_all!$A$3:'Engines_all'!$V$843,16,FALSE)</f>
        <v>2.7814986158742336E+17</v>
      </c>
      <c r="W82" s="77">
        <f t="shared" si="132"/>
        <v>1.4771999999999999E-2</v>
      </c>
      <c r="X82" s="78">
        <f>IF(E82="K",Q82*'Rest Calc'!B$16,Q82*'Rest Calc'!B$17)</f>
        <v>93.359039999999993</v>
      </c>
      <c r="Y82" s="76">
        <f>VLOOKUP($D82,Engines_all!$A$3:'Engines_all'!$V$843,17,FALSE)</f>
        <v>1548</v>
      </c>
      <c r="Z82" s="76">
        <f>VLOOKUP($D82,Engines_all!$A$3:'Engines_all'!$V$843,18,FALSE)</f>
        <v>4.4272799999999997</v>
      </c>
      <c r="AA82" s="76">
        <f>VLOOKUP($D82,Engines_all!$A$3:'Engines_all'!$V$843,19,FALSE)</f>
        <v>7.1672399999999996</v>
      </c>
      <c r="AB82" s="76">
        <f>VLOOKUP($D82,Engines_all!$A$3:'Engines_all'!$V$843,20,FALSE)</f>
        <v>74.691000000000003</v>
      </c>
      <c r="AC82" s="76">
        <f>VLOOKUP($D82,Engines_all!$A$3:'Engines_all'!$V$843,21,FALSE)</f>
        <v>0.42187195080000006</v>
      </c>
      <c r="AD82" s="222">
        <f>VLOOKUP($D82,Engines_all!$A$3:'Engines_all'!$V$843,22,FALSE)</f>
        <v>1.7106229805419246E+16</v>
      </c>
      <c r="AE82" s="80">
        <f t="shared" si="133"/>
        <v>0.77400000000000002</v>
      </c>
      <c r="AF82" s="79">
        <f>IF(E82="K",Y82*'Rest Calc'!B$16,Y82*'Rest Calc'!B$17)</f>
        <v>4891.68</v>
      </c>
      <c r="AG82" s="79">
        <f>IF(ALECA_Input!D$121="Standard",VLOOKUP($B82,$A$211:$J$218,6,FALSE),VLOOKUP($B82,$A$211:$J$218,10,FALSE))</f>
        <v>0</v>
      </c>
      <c r="AH82" s="163">
        <v>180</v>
      </c>
      <c r="AI82" s="75">
        <v>6</v>
      </c>
      <c r="AJ82" s="74"/>
      <c r="AK82" s="74"/>
      <c r="AL82" s="74"/>
    </row>
    <row r="83" spans="1:38" x14ac:dyDescent="0.25">
      <c r="A83" s="74" t="s">
        <v>255</v>
      </c>
      <c r="B83" s="75" t="s">
        <v>385</v>
      </c>
      <c r="C83" s="74" t="s">
        <v>256</v>
      </c>
      <c r="D83" s="74" t="s">
        <v>2654</v>
      </c>
      <c r="E83" s="75" t="s">
        <v>2937</v>
      </c>
      <c r="F83" s="136">
        <v>2</v>
      </c>
      <c r="G83" s="243">
        <f>VLOOKUP(D83,Engines_all!$A$3:$AZ$843,52,FALSE)</f>
        <v>0</v>
      </c>
      <c r="H83" s="74">
        <f>ALECA_Input!C86</f>
        <v>0</v>
      </c>
      <c r="I83" s="82">
        <f t="shared" si="124"/>
        <v>0</v>
      </c>
      <c r="J83" s="82">
        <f t="shared" si="125"/>
        <v>0</v>
      </c>
      <c r="K83" s="82">
        <f t="shared" si="126"/>
        <v>0</v>
      </c>
      <c r="L83" s="82">
        <f t="shared" si="127"/>
        <v>0</v>
      </c>
      <c r="M83" s="161">
        <f t="shared" si="128"/>
        <v>0</v>
      </c>
      <c r="N83" s="82">
        <f t="shared" si="129"/>
        <v>0</v>
      </c>
      <c r="O83" s="82">
        <f t="shared" si="130"/>
        <v>0</v>
      </c>
      <c r="P83" s="262">
        <f t="shared" si="131"/>
        <v>0</v>
      </c>
      <c r="Q83" s="76">
        <f>VLOOKUP($D83,Engines_all!$A$3:'Engines_all'!$V$843,11,FALSE)</f>
        <v>5.6567999999999996</v>
      </c>
      <c r="R83" s="78">
        <f>VLOOKUP($D83,Engines_all!$A$3:'Engines_all'!$V$843,12,FALSE)</f>
        <v>7.5333839999999997E-3</v>
      </c>
      <c r="S83" s="78">
        <f>VLOOKUP($D83,Engines_all!$A$3:'Engines_all'!$V$843,13,FALSE)</f>
        <v>0.10280956799999999</v>
      </c>
      <c r="T83" s="78">
        <f>VLOOKUP($D83,Engines_all!$A$3:'Engines_all'!$V$843,14,FALSE)</f>
        <v>7.5146849999999992</v>
      </c>
      <c r="U83" s="78">
        <f>VLOOKUP($D83,Engines_all!$A$3:'Engines_all'!$V$843,15,FALSE)</f>
        <v>9.6812001479999986E-3</v>
      </c>
      <c r="V83" s="222">
        <f>VLOOKUP($D83,Engines_all!$A$3:'Engines_all'!$V$843,16,FALSE)</f>
        <v>1994854749384580</v>
      </c>
      <c r="W83" s="77">
        <f t="shared" si="132"/>
        <v>2.8284E-3</v>
      </c>
      <c r="X83" s="78">
        <f>IF(E83="K",Q83*'Rest Calc'!B$16,Q83*'Rest Calc'!B$17)</f>
        <v>17.253239999999998</v>
      </c>
      <c r="Y83" s="76">
        <f>VLOOKUP($D83,Engines_all!$A$3:'Engines_all'!$V$843,17,FALSE)</f>
        <v>84</v>
      </c>
      <c r="Z83" s="76">
        <f>VLOOKUP($D83,Engines_all!$A$3:'Engines_all'!$V$843,18,FALSE)</f>
        <v>0.18396000000000001</v>
      </c>
      <c r="AA83" s="76">
        <f>VLOOKUP($D83,Engines_all!$A$3:'Engines_all'!$V$843,19,FALSE)</f>
        <v>4.0580400000000001</v>
      </c>
      <c r="AB83" s="76">
        <f>VLOOKUP($D83,Engines_all!$A$3:'Engines_all'!$V$843,20,FALSE)</f>
        <v>91.959000000000003</v>
      </c>
      <c r="AC83" s="76">
        <f>VLOOKUP($D83,Engines_all!$A$3:'Engines_all'!$V$843,21,FALSE)</f>
        <v>4.1750746800000002E-2</v>
      </c>
      <c r="AD83" s="222">
        <f>VLOOKUP($D83,Engines_all!$A$3:'Engines_all'!$V$843,22,FALSE)</f>
        <v>48553554187641.43</v>
      </c>
      <c r="AE83" s="80">
        <f t="shared" si="133"/>
        <v>4.2000000000000003E-2</v>
      </c>
      <c r="AF83" s="79">
        <f>IF(E83="K",Y83*'Rest Calc'!B$16,Y83*'Rest Calc'!B$17)</f>
        <v>256.2</v>
      </c>
      <c r="AG83" s="79">
        <f>IF(ALECA_Input!D$121="Standard",VLOOKUP($B83,$A$211:$J$218,6,FALSE),VLOOKUP($B83,$A$211:$J$218,10,FALSE))</f>
        <v>0</v>
      </c>
      <c r="AH83" s="163">
        <f>G83/2+80</f>
        <v>80</v>
      </c>
      <c r="AI83" s="75">
        <v>7</v>
      </c>
      <c r="AJ83" s="74"/>
      <c r="AK83" s="74"/>
      <c r="AL83" s="74"/>
    </row>
    <row r="84" spans="1:38" x14ac:dyDescent="0.25">
      <c r="A84" s="74" t="s">
        <v>257</v>
      </c>
      <c r="B84" s="75" t="s">
        <v>385</v>
      </c>
      <c r="C84" s="74" t="s">
        <v>258</v>
      </c>
      <c r="D84" s="74" t="s">
        <v>2681</v>
      </c>
      <c r="E84" s="75" t="s">
        <v>2937</v>
      </c>
      <c r="F84" s="136">
        <v>2</v>
      </c>
      <c r="G84" s="243">
        <f>VLOOKUP(D84,Engines_all!$A$3:$AZ$843,52,FALSE)</f>
        <v>0</v>
      </c>
      <c r="H84" s="74">
        <f>ALECA_Input!C87</f>
        <v>0</v>
      </c>
      <c r="I84" s="82">
        <f t="shared" si="124"/>
        <v>0</v>
      </c>
      <c r="J84" s="82">
        <f t="shared" si="125"/>
        <v>0</v>
      </c>
      <c r="K84" s="82">
        <f t="shared" si="126"/>
        <v>0</v>
      </c>
      <c r="L84" s="82">
        <f t="shared" si="127"/>
        <v>0</v>
      </c>
      <c r="M84" s="161">
        <f t="shared" si="128"/>
        <v>0</v>
      </c>
      <c r="N84" s="82">
        <f t="shared" si="129"/>
        <v>0</v>
      </c>
      <c r="O84" s="82">
        <f t="shared" si="130"/>
        <v>0</v>
      </c>
      <c r="P84" s="262">
        <f t="shared" si="131"/>
        <v>0</v>
      </c>
      <c r="Q84" s="76">
        <f>VLOOKUP($D84,Engines_all!$A$3:'Engines_all'!$V$843,11,FALSE)</f>
        <v>7.4046000000000003</v>
      </c>
      <c r="R84" s="78">
        <f>VLOOKUP($D84,Engines_all!$A$3:'Engines_all'!$V$843,12,FALSE)</f>
        <v>3.0205800000000005E-2</v>
      </c>
      <c r="S84" s="78">
        <f>VLOOKUP($D84,Engines_all!$A$3:'Engines_all'!$V$843,13,FALSE)</f>
        <v>0.10976153999999999</v>
      </c>
      <c r="T84" s="78">
        <f>VLOOKUP($D84,Engines_all!$A$3:'Engines_all'!$V$843,14,FALSE)</f>
        <v>6.8277419999999998</v>
      </c>
      <c r="U84" s="78">
        <f>VLOOKUP($D84,Engines_all!$A$3:'Engines_all'!$V$843,15,FALSE)</f>
        <v>8.5649633160000006E-3</v>
      </c>
      <c r="V84" s="222">
        <f>VLOOKUP($D84,Engines_all!$A$3:'Engines_all'!$V$843,16,FALSE)</f>
        <v>789847341687223.38</v>
      </c>
      <c r="W84" s="77">
        <f t="shared" si="132"/>
        <v>3.7023000000000004E-3</v>
      </c>
      <c r="X84" s="78">
        <f>IF(E84="K",Q84*'Rest Calc'!B$16,Q84*'Rest Calc'!B$17)</f>
        <v>22.584029999999998</v>
      </c>
      <c r="Y84" s="76">
        <f>VLOOKUP($D84,Engines_all!$A$3:'Engines_all'!$V$843,17,FALSE)</f>
        <v>150</v>
      </c>
      <c r="Z84" s="76">
        <f>VLOOKUP($D84,Engines_all!$A$3:'Engines_all'!$V$843,18,FALSE)</f>
        <v>0.15</v>
      </c>
      <c r="AA84" s="76">
        <f>VLOOKUP($D84,Engines_all!$A$3:'Engines_all'!$V$843,19,FALSE)</f>
        <v>6.84</v>
      </c>
      <c r="AB84" s="76">
        <f>VLOOKUP($D84,Engines_all!$A$3:'Engines_all'!$V$843,20,FALSE)</f>
        <v>150</v>
      </c>
      <c r="AC84" s="76">
        <f>VLOOKUP($D84,Engines_all!$A$3:'Engines_all'!$V$843,21,FALSE)</f>
        <v>6.0796799999999998E-2</v>
      </c>
      <c r="AD84" s="222">
        <f>VLOOKUP($D84,Engines_all!$A$3:'Engines_all'!$V$843,22,FALSE)</f>
        <v>43351387667536.984</v>
      </c>
      <c r="AE84" s="80">
        <f t="shared" si="133"/>
        <v>7.4999999999999997E-2</v>
      </c>
      <c r="AF84" s="79">
        <f>IF(E84="K",Y84*'Rest Calc'!B$16,Y84*'Rest Calc'!B$17)</f>
        <v>457.5</v>
      </c>
      <c r="AG84" s="79">
        <f>IF(ALECA_Input!D$121="Standard",VLOOKUP($B84,$A$211:$J$218,6,FALSE),VLOOKUP($B84,$A$211:$J$218,10,FALSE))</f>
        <v>0</v>
      </c>
      <c r="AH84" s="163">
        <v>90</v>
      </c>
      <c r="AI84" s="75">
        <v>7</v>
      </c>
      <c r="AJ84" s="74"/>
      <c r="AK84" s="74"/>
      <c r="AL84" s="74"/>
    </row>
    <row r="85" spans="1:38" x14ac:dyDescent="0.25">
      <c r="A85" s="74" t="s">
        <v>259</v>
      </c>
      <c r="B85" s="75" t="s">
        <v>386</v>
      </c>
      <c r="C85" s="74" t="s">
        <v>260</v>
      </c>
      <c r="D85" s="74" t="s">
        <v>2818</v>
      </c>
      <c r="E85" s="75" t="s">
        <v>2936</v>
      </c>
      <c r="F85" s="136">
        <v>2</v>
      </c>
      <c r="G85" s="243">
        <f>VLOOKUP(D85,Engines_all!$A$3:$AZ$843,52,FALSE)</f>
        <v>0</v>
      </c>
      <c r="H85" s="74">
        <f>ALECA_Input!C88</f>
        <v>0</v>
      </c>
      <c r="I85" s="82">
        <f t="shared" si="124"/>
        <v>0</v>
      </c>
      <c r="J85" s="82">
        <f t="shared" si="125"/>
        <v>0</v>
      </c>
      <c r="K85" s="82">
        <f t="shared" si="126"/>
        <v>0</v>
      </c>
      <c r="L85" s="82">
        <f t="shared" si="127"/>
        <v>0</v>
      </c>
      <c r="M85" s="161">
        <f t="shared" si="128"/>
        <v>0</v>
      </c>
      <c r="N85" s="82">
        <f t="shared" si="129"/>
        <v>0</v>
      </c>
      <c r="O85" s="82">
        <f t="shared" si="130"/>
        <v>0</v>
      </c>
      <c r="P85" s="262">
        <f t="shared" si="131"/>
        <v>0</v>
      </c>
      <c r="Q85" s="76">
        <f>VLOOKUP($D85,Engines_all!$A$3:'Engines_all'!$V$843,11,FALSE)</f>
        <v>16.536000000000001</v>
      </c>
      <c r="R85" s="78">
        <f>VLOOKUP($D85,Engines_all!$A$3:'Engines_all'!$V$843,12,FALSE)</f>
        <v>0.1057128</v>
      </c>
      <c r="S85" s="78">
        <f>VLOOKUP($D85,Engines_all!$A$3:'Engines_all'!$V$843,13,FALSE)</f>
        <v>7.6139999999999997E-4</v>
      </c>
      <c r="T85" s="78">
        <f>VLOOKUP($D85,Engines_all!$A$3:'Engines_all'!$V$843,14,FALSE)</f>
        <v>3.4048199999999994E-2</v>
      </c>
      <c r="U85" s="78">
        <f>VLOOKUP($D85,Engines_all!$A$3:'Engines_all'!$V$843,15,FALSE)</f>
        <v>4.8859721099999993E-3</v>
      </c>
      <c r="V85" s="222">
        <f>VLOOKUP($D85,Engines_all!$A$3:'Engines_all'!$V$843,16,FALSE)</f>
        <v>1.1102311594710115E+17</v>
      </c>
      <c r="W85" s="77">
        <f t="shared" si="132"/>
        <v>8.268000000000001E-3</v>
      </c>
      <c r="X85" s="78">
        <f>IF(E85="K",Q85*'Rest Calc'!B$16,Q85*'Rest Calc'!B$17)</f>
        <v>52.253760000000007</v>
      </c>
      <c r="Y85" s="76">
        <f>VLOOKUP($D85,Engines_all!$A$3:'Engines_all'!$V$843,17,FALSE)</f>
        <v>600.97206970992602</v>
      </c>
      <c r="Z85" s="76">
        <f>VLOOKUP($D85,Engines_all!$A$3:'Engines_all'!$V$843,18,FALSE)</f>
        <v>1.4950285714285831</v>
      </c>
      <c r="AA85" s="76">
        <f>VLOOKUP($D85,Engines_all!$A$3:'Engines_all'!$V$843,19,FALSE)</f>
        <v>4.3191648376002796</v>
      </c>
      <c r="AB85" s="76">
        <f>VLOOKUP($D85,Engines_all!$A$3:'Engines_all'!$V$843,20,FALSE)</f>
        <v>41.18768511211934</v>
      </c>
      <c r="AC85" s="76">
        <f>VLOOKUP($D85,Engines_all!$A$3:'Engines_all'!$V$843,21,FALSE)</f>
        <v>0.15883906350138907</v>
      </c>
      <c r="AD85" s="222">
        <f>VLOOKUP($D85,Engines_all!$A$3:'Engines_all'!$V$843,22,FALSE)</f>
        <v>5823701857210261</v>
      </c>
      <c r="AE85" s="80">
        <f t="shared" si="133"/>
        <v>0.300486034854963</v>
      </c>
      <c r="AF85" s="79">
        <f>IF(E85="K",Y85*'Rest Calc'!B$16,Y85*'Rest Calc'!B$17)</f>
        <v>1899.0717402833664</v>
      </c>
      <c r="AG85" s="79">
        <f>IF(ALECA_Input!D$121="Standard",VLOOKUP($B85,$A$211:$J$218,6,FALSE),VLOOKUP($B85,$A$211:$J$218,10,FALSE))</f>
        <v>0</v>
      </c>
      <c r="AH85" s="163">
        <v>180</v>
      </c>
      <c r="AI85" s="75">
        <v>6</v>
      </c>
      <c r="AJ85" s="74"/>
      <c r="AK85" s="74"/>
      <c r="AL85" s="74"/>
    </row>
    <row r="86" spans="1:38" x14ac:dyDescent="0.25">
      <c r="A86" s="74" t="s">
        <v>261</v>
      </c>
      <c r="B86" s="75" t="s">
        <v>385</v>
      </c>
      <c r="C86" s="74" t="s">
        <v>262</v>
      </c>
      <c r="D86" s="74" t="s">
        <v>2664</v>
      </c>
      <c r="E86" s="75" t="s">
        <v>2937</v>
      </c>
      <c r="F86" s="136">
        <v>2</v>
      </c>
      <c r="G86" s="243">
        <f>VLOOKUP(D86,Engines_all!$A$3:$AZ$843,52,FALSE)</f>
        <v>0</v>
      </c>
      <c r="H86" s="74">
        <f>ALECA_Input!C89</f>
        <v>0</v>
      </c>
      <c r="I86" s="82">
        <f t="shared" si="124"/>
        <v>0</v>
      </c>
      <c r="J86" s="82">
        <f t="shared" si="125"/>
        <v>0</v>
      </c>
      <c r="K86" s="82">
        <f t="shared" si="126"/>
        <v>0</v>
      </c>
      <c r="L86" s="82">
        <f t="shared" si="127"/>
        <v>0</v>
      </c>
      <c r="M86" s="161">
        <f t="shared" si="128"/>
        <v>0</v>
      </c>
      <c r="N86" s="82">
        <f t="shared" si="129"/>
        <v>0</v>
      </c>
      <c r="O86" s="82">
        <f t="shared" si="130"/>
        <v>0</v>
      </c>
      <c r="P86" s="262">
        <f t="shared" si="131"/>
        <v>0</v>
      </c>
      <c r="Q86" s="76">
        <f>VLOOKUP($D86,Engines_all!$A$3:'Engines_all'!$V$843,11,FALSE)</f>
        <v>12.425999999999998</v>
      </c>
      <c r="R86" s="78">
        <f>VLOOKUP($D86,Engines_all!$A$3:'Engines_all'!$V$843,12,FALSE)</f>
        <v>2.1756359999999999E-2</v>
      </c>
      <c r="S86" s="78">
        <f>VLOOKUP($D86,Engines_all!$A$3:'Engines_all'!$V$843,13,FALSE)</f>
        <v>0.16457279999999999</v>
      </c>
      <c r="T86" s="78">
        <f>VLOOKUP($D86,Engines_all!$A$3:'Engines_all'!$V$843,14,FALSE)</f>
        <v>14.997408</v>
      </c>
      <c r="U86" s="78">
        <f>VLOOKUP($D86,Engines_all!$A$3:'Engines_all'!$V$843,15,FALSE)</f>
        <v>1.312624896E-2</v>
      </c>
      <c r="V86" s="222">
        <f>VLOOKUP($D86,Engines_all!$A$3:'Engines_all'!$V$843,16,FALSE)</f>
        <v>1249363514155788.5</v>
      </c>
      <c r="W86" s="77">
        <f t="shared" si="132"/>
        <v>6.2129999999999989E-3</v>
      </c>
      <c r="X86" s="78">
        <f>IF(E86="K",Q86*'Rest Calc'!B$16,Q86*'Rest Calc'!B$17)</f>
        <v>37.89929999999999</v>
      </c>
      <c r="Y86" s="76">
        <f>VLOOKUP($D86,Engines_all!$A$3:'Engines_all'!$V$843,17,FALSE)</f>
        <v>366.00000000000006</v>
      </c>
      <c r="Z86" s="76">
        <f>VLOOKUP($D86,Engines_all!$A$3:'Engines_all'!$V$843,18,FALSE)</f>
        <v>1.2956400000000001</v>
      </c>
      <c r="AA86" s="76">
        <f>VLOOKUP($D86,Engines_all!$A$3:'Engines_all'!$V$843,19,FALSE)</f>
        <v>3.0012000000000003</v>
      </c>
      <c r="AB86" s="76">
        <f>VLOOKUP($D86,Engines_all!$A$3:'Engines_all'!$V$843,20,FALSE)</f>
        <v>169.09200000000001</v>
      </c>
      <c r="AC86" s="76">
        <f>VLOOKUP($D86,Engines_all!$A$3:'Engines_all'!$V$843,21,FALSE)</f>
        <v>6.3886763999999999E-2</v>
      </c>
      <c r="AD86" s="222">
        <f>VLOOKUP($D86,Engines_all!$A$3:'Engines_all'!$V$843,22,FALSE)</f>
        <v>105777385908790.27</v>
      </c>
      <c r="AE86" s="80">
        <f t="shared" si="133"/>
        <v>0.18300000000000002</v>
      </c>
      <c r="AF86" s="79">
        <f>IF(E86="K",Y86*'Rest Calc'!B$16,Y86*'Rest Calc'!B$17)</f>
        <v>1116.3000000000002</v>
      </c>
      <c r="AG86" s="79">
        <f>IF(ALECA_Input!D$121="Standard",VLOOKUP($B86,$A$211:$J$218,6,FALSE),VLOOKUP($B86,$A$211:$J$218,10,FALSE))</f>
        <v>0</v>
      </c>
      <c r="AH86" s="163">
        <f t="shared" ref="AH86:AH94" si="213">G86/2+80</f>
        <v>80</v>
      </c>
      <c r="AI86" s="75">
        <v>7</v>
      </c>
      <c r="AJ86" s="74"/>
      <c r="AK86" s="74"/>
      <c r="AL86" s="74"/>
    </row>
    <row r="87" spans="1:38" x14ac:dyDescent="0.25">
      <c r="A87" s="74" t="s">
        <v>454</v>
      </c>
      <c r="B87" s="75" t="s">
        <v>396</v>
      </c>
      <c r="C87" s="74" t="s">
        <v>263</v>
      </c>
      <c r="D87" s="74" t="s">
        <v>792</v>
      </c>
      <c r="E87" s="75" t="s">
        <v>2936</v>
      </c>
      <c r="F87" s="136">
        <v>2</v>
      </c>
      <c r="G87" s="243">
        <f>VLOOKUP(D87,Engines_all!$A$3:$AZ$843,52,FALSE)</f>
        <v>8.4499999999999993</v>
      </c>
      <c r="H87" s="74">
        <f>ALECA_Input!C90</f>
        <v>0</v>
      </c>
      <c r="I87" s="82">
        <f t="shared" si="124"/>
        <v>0</v>
      </c>
      <c r="J87" s="82">
        <f t="shared" si="125"/>
        <v>0</v>
      </c>
      <c r="K87" s="82">
        <f t="shared" si="126"/>
        <v>0</v>
      </c>
      <c r="L87" s="82">
        <f t="shared" si="127"/>
        <v>0</v>
      </c>
      <c r="M87" s="161">
        <f t="shared" si="128"/>
        <v>0</v>
      </c>
      <c r="N87" s="82">
        <f t="shared" si="129"/>
        <v>0</v>
      </c>
      <c r="O87" s="82">
        <f t="shared" si="130"/>
        <v>0</v>
      </c>
      <c r="P87" s="262">
        <f t="shared" si="131"/>
        <v>0</v>
      </c>
      <c r="Q87" s="76">
        <f>VLOOKUP($D87,Engines_all!$A$3:'Engines_all'!$V$843,11,FALSE)</f>
        <v>8.9160000000000004</v>
      </c>
      <c r="R87" s="78">
        <f>VLOOKUP($D87,Engines_all!$A$3:'Engines_all'!$V$843,12,FALSE)</f>
        <v>8.1625200000000009E-2</v>
      </c>
      <c r="S87" s="78">
        <f>VLOOKUP($D87,Engines_all!$A$3:'Engines_all'!$V$843,13,FALSE)</f>
        <v>1.9572E-4</v>
      </c>
      <c r="T87" s="78">
        <f>VLOOKUP($D87,Engines_all!$A$3:'Engines_all'!$V$843,14,FALSE)</f>
        <v>4.9104000000000002E-2</v>
      </c>
      <c r="U87" s="78">
        <f>VLOOKUP($D87,Engines_all!$A$3:'Engines_all'!$V$843,15,FALSE)</f>
        <v>9.8327935091156661E-4</v>
      </c>
      <c r="V87" s="222">
        <f>VLOOKUP($D87,Engines_all!$A$3:'Engines_all'!$V$843,16,FALSE)</f>
        <v>5031299976545594</v>
      </c>
      <c r="W87" s="77">
        <f t="shared" si="132"/>
        <v>4.4580000000000002E-3</v>
      </c>
      <c r="X87" s="78">
        <f>IF(E87="K",Q87*'Rest Calc'!B$16,Q87*'Rest Calc'!B$17)</f>
        <v>28.174560000000003</v>
      </c>
      <c r="Y87" s="76">
        <f>VLOOKUP($D87,Engines_all!$A$3:'Engines_all'!$V$843,17,FALSE)</f>
        <v>840</v>
      </c>
      <c r="Z87" s="76">
        <f>VLOOKUP($D87,Engines_all!$A$3:'Engines_all'!$V$843,18,FALSE)</f>
        <v>1.8480000000000001</v>
      </c>
      <c r="AA87" s="76">
        <f>VLOOKUP($D87,Engines_all!$A$3:'Engines_all'!$V$843,19,FALSE)</f>
        <v>1.302</v>
      </c>
      <c r="AB87" s="76">
        <f>VLOOKUP($D87,Engines_all!$A$3:'Engines_all'!$V$843,20,FALSE)</f>
        <v>38.22</v>
      </c>
      <c r="AC87" s="76">
        <f>VLOOKUP($D87,Engines_all!$A$3:'Engines_all'!$V$843,21,FALSE)</f>
        <v>5.4947679703764275E-2</v>
      </c>
      <c r="AD87" s="222">
        <f>VLOOKUP($D87,Engines_all!$A$3:'Engines_all'!$V$843,22,FALSE)</f>
        <v>327999160778181.56</v>
      </c>
      <c r="AE87" s="80">
        <f t="shared" si="133"/>
        <v>0.42</v>
      </c>
      <c r="AF87" s="79">
        <f>IF(E87="K",Y87*'Rest Calc'!B$16,Y87*'Rest Calc'!B$17)</f>
        <v>2654.4</v>
      </c>
      <c r="AG87" s="79">
        <f>IF(ALECA_Input!D$121="Standard",VLOOKUP($B87,$A$211:$J$218,6,FALSE),VLOOKUP($B87,$A$211:$J$218,10,FALSE))</f>
        <v>0</v>
      </c>
      <c r="AH87" s="163">
        <f t="shared" si="213"/>
        <v>84.224999999999994</v>
      </c>
      <c r="AI87" s="75">
        <v>5</v>
      </c>
      <c r="AJ87" s="74"/>
      <c r="AK87" s="74"/>
      <c r="AL87" s="74"/>
    </row>
    <row r="88" spans="1:38" x14ac:dyDescent="0.25">
      <c r="A88" s="74" t="s">
        <v>455</v>
      </c>
      <c r="B88" s="75" t="s">
        <v>396</v>
      </c>
      <c r="C88" s="74" t="s">
        <v>264</v>
      </c>
      <c r="D88" s="74" t="s">
        <v>725</v>
      </c>
      <c r="E88" s="75" t="s">
        <v>2936</v>
      </c>
      <c r="F88" s="136">
        <v>2</v>
      </c>
      <c r="G88" s="243">
        <f>VLOOKUP(D88,Engines_all!$A$3:$AZ$843,52,FALSE)</f>
        <v>16.84</v>
      </c>
      <c r="H88" s="74">
        <f>ALECA_Input!C91</f>
        <v>0</v>
      </c>
      <c r="I88" s="82">
        <f t="shared" si="124"/>
        <v>0</v>
      </c>
      <c r="J88" s="82">
        <f t="shared" si="125"/>
        <v>0</v>
      </c>
      <c r="K88" s="82">
        <f t="shared" si="126"/>
        <v>0</v>
      </c>
      <c r="L88" s="82">
        <f t="shared" si="127"/>
        <v>0</v>
      </c>
      <c r="M88" s="161">
        <f t="shared" si="128"/>
        <v>0</v>
      </c>
      <c r="N88" s="82">
        <f t="shared" si="129"/>
        <v>0</v>
      </c>
      <c r="O88" s="82">
        <f t="shared" si="130"/>
        <v>0</v>
      </c>
      <c r="P88" s="262">
        <f t="shared" si="131"/>
        <v>0</v>
      </c>
      <c r="Q88" s="76">
        <f>VLOOKUP($D88,Engines_all!$A$3:'Engines_all'!$V$843,11,FALSE)</f>
        <v>17.1678</v>
      </c>
      <c r="R88" s="78">
        <f>VLOOKUP($D88,Engines_all!$A$3:'Engines_all'!$V$843,12,FALSE)</f>
        <v>9.6677544000000018E-2</v>
      </c>
      <c r="S88" s="78">
        <f>VLOOKUP($D88,Engines_all!$A$3:'Engines_all'!$V$843,13,FALSE)</f>
        <v>6.6887466000000007E-2</v>
      </c>
      <c r="T88" s="78">
        <f>VLOOKUP($D88,Engines_all!$A$3:'Engines_all'!$V$843,14,FALSE)</f>
        <v>0.21958955399999999</v>
      </c>
      <c r="U88" s="78">
        <f>VLOOKUP($D88,Engines_all!$A$3:'Engines_all'!$V$843,15,FALSE)</f>
        <v>1.2544392888000001E-2</v>
      </c>
      <c r="V88" s="222">
        <f>VLOOKUP($D88,Engines_all!$A$3:'Engines_all'!$V$843,16,FALSE)</f>
        <v>4.93328268E+17</v>
      </c>
      <c r="W88" s="77">
        <f t="shared" si="132"/>
        <v>8.5839000000000002E-3</v>
      </c>
      <c r="X88" s="78">
        <f>IF(E88="K",Q88*'Rest Calc'!B$16,Q88*'Rest Calc'!B$17)</f>
        <v>54.250247999999999</v>
      </c>
      <c r="Y88" s="76">
        <f>VLOOKUP($D88,Engines_all!$A$3:'Engines_all'!$V$843,17,FALSE)</f>
        <v>1872</v>
      </c>
      <c r="Z88" s="76">
        <f>VLOOKUP($D88,Engines_all!$A$3:'Engines_all'!$V$843,18,FALSE)</f>
        <v>2.0779200000000002</v>
      </c>
      <c r="AA88" s="76">
        <f>VLOOKUP($D88,Engines_all!$A$3:'Engines_all'!$V$843,19,FALSE)</f>
        <v>49.701599999999999</v>
      </c>
      <c r="AB88" s="76">
        <f>VLOOKUP($D88,Engines_all!$A$3:'Engines_all'!$V$843,20,FALSE)</f>
        <v>125.48016</v>
      </c>
      <c r="AC88" s="76">
        <f>VLOOKUP($D88,Engines_all!$A$3:'Engines_all'!$V$843,21,FALSE)</f>
        <v>0.903751992</v>
      </c>
      <c r="AD88" s="222">
        <f>VLOOKUP($D88,Engines_all!$A$3:'Engines_all'!$V$843,22,FALSE)</f>
        <v>8.373456E+16</v>
      </c>
      <c r="AE88" s="80">
        <f t="shared" si="133"/>
        <v>0.93600000000000005</v>
      </c>
      <c r="AF88" s="79">
        <f>IF(E88="K",Y88*'Rest Calc'!B$16,Y88*'Rest Calc'!B$17)</f>
        <v>5915.52</v>
      </c>
      <c r="AG88" s="79">
        <f>IF(ALECA_Input!D$121="Standard",VLOOKUP($B88,$A$211:$J$218,6,FALSE),VLOOKUP($B88,$A$211:$J$218,10,FALSE))</f>
        <v>0</v>
      </c>
      <c r="AH88" s="163">
        <f t="shared" si="213"/>
        <v>88.42</v>
      </c>
      <c r="AI88" s="75">
        <v>5</v>
      </c>
      <c r="AJ88" s="74"/>
      <c r="AK88" s="74"/>
      <c r="AL88" s="74"/>
    </row>
    <row r="89" spans="1:38" x14ac:dyDescent="0.25">
      <c r="A89" s="74" t="s">
        <v>456</v>
      </c>
      <c r="B89" s="75" t="s">
        <v>396</v>
      </c>
      <c r="C89" s="74" t="s">
        <v>265</v>
      </c>
      <c r="D89" s="74" t="s">
        <v>670</v>
      </c>
      <c r="E89" s="75" t="s">
        <v>2936</v>
      </c>
      <c r="F89" s="136">
        <v>2</v>
      </c>
      <c r="G89" s="243">
        <f>VLOOKUP(D89,Engines_all!$A$3:$AZ$843,52,FALSE)</f>
        <v>26.91</v>
      </c>
      <c r="H89" s="74">
        <f>ALECA_Input!C92</f>
        <v>0</v>
      </c>
      <c r="I89" s="82">
        <f t="shared" si="124"/>
        <v>0</v>
      </c>
      <c r="J89" s="82">
        <f t="shared" si="125"/>
        <v>0</v>
      </c>
      <c r="K89" s="82">
        <f t="shared" si="126"/>
        <v>0</v>
      </c>
      <c r="L89" s="82">
        <f t="shared" si="127"/>
        <v>0</v>
      </c>
      <c r="M89" s="161">
        <f t="shared" si="128"/>
        <v>0</v>
      </c>
      <c r="N89" s="82">
        <f t="shared" si="129"/>
        <v>0</v>
      </c>
      <c r="O89" s="82">
        <f t="shared" si="130"/>
        <v>0</v>
      </c>
      <c r="P89" s="262">
        <f t="shared" si="131"/>
        <v>0</v>
      </c>
      <c r="Q89" s="76">
        <f>VLOOKUP($D89,Engines_all!$A$3:'Engines_all'!$V$843,11,FALSE)</f>
        <v>71.555400000000006</v>
      </c>
      <c r="R89" s="78">
        <f>VLOOKUP($D89,Engines_all!$A$3:'Engines_all'!$V$843,12,FALSE)</f>
        <v>1.2163292880000001</v>
      </c>
      <c r="S89" s="78">
        <f>VLOOKUP($D89,Engines_all!$A$3:'Engines_all'!$V$843,13,FALSE)</f>
        <v>0</v>
      </c>
      <c r="T89" s="78">
        <f>VLOOKUP($D89,Engines_all!$A$3:'Engines_all'!$V$843,14,FALSE)</f>
        <v>0.28393728600000001</v>
      </c>
      <c r="U89" s="78">
        <f>VLOOKUP($D89,Engines_all!$A$3:'Engines_all'!$V$843,15,FALSE)</f>
        <v>1.1561119274962315E-2</v>
      </c>
      <c r="V89" s="222">
        <f>VLOOKUP($D89,Engines_all!$A$3:'Engines_all'!$V$843,16,FALSE)</f>
        <v>9.52717246745464E+16</v>
      </c>
      <c r="W89" s="77">
        <f t="shared" si="132"/>
        <v>3.5777700000000003E-2</v>
      </c>
      <c r="X89" s="78">
        <f>IF(E89="K",Q89*'Rest Calc'!B$16,Q89*'Rest Calc'!B$17)</f>
        <v>226.11506400000002</v>
      </c>
      <c r="Y89" s="76">
        <f>VLOOKUP($D89,Engines_all!$A$3:'Engines_all'!$V$843,17,FALSE)</f>
        <v>2532</v>
      </c>
      <c r="Z89" s="76">
        <f>VLOOKUP($D89,Engines_all!$A$3:'Engines_all'!$V$843,18,FALSE)</f>
        <v>10.78632</v>
      </c>
      <c r="AA89" s="76">
        <f>VLOOKUP($D89,Engines_all!$A$3:'Engines_all'!$V$843,19,FALSE)</f>
        <v>11.039520000000001</v>
      </c>
      <c r="AB89" s="76">
        <f>VLOOKUP($D89,Engines_all!$A$3:'Engines_all'!$V$843,20,FALSE)</f>
        <v>92.038200000000003</v>
      </c>
      <c r="AC89" s="76">
        <f>VLOOKUP($D89,Engines_all!$A$3:'Engines_all'!$V$843,21,FALSE)</f>
        <v>0.33128549578682298</v>
      </c>
      <c r="AD89" s="222">
        <f>VLOOKUP($D89,Engines_all!$A$3:'Engines_all'!$V$843,22,FALSE)</f>
        <v>7023931536240008</v>
      </c>
      <c r="AE89" s="80">
        <f t="shared" si="133"/>
        <v>1.266</v>
      </c>
      <c r="AF89" s="79">
        <f>IF(E89="K",Y89*'Rest Calc'!B$16,Y89*'Rest Calc'!B$17)</f>
        <v>8001.1200000000008</v>
      </c>
      <c r="AG89" s="79">
        <f>IF(ALECA_Input!D$121="Standard",VLOOKUP($B89,$A$211:$J$218,6,FALSE),VLOOKUP($B89,$A$211:$J$218,10,FALSE))</f>
        <v>0</v>
      </c>
      <c r="AH89" s="163">
        <f t="shared" si="213"/>
        <v>93.454999999999998</v>
      </c>
      <c r="AI89" s="75">
        <v>5</v>
      </c>
      <c r="AJ89" s="74"/>
      <c r="AK89" s="74"/>
      <c r="AL89" s="74"/>
    </row>
    <row r="90" spans="1:38" x14ac:dyDescent="0.25">
      <c r="A90" s="74" t="s">
        <v>457</v>
      </c>
      <c r="B90" s="75" t="s">
        <v>396</v>
      </c>
      <c r="C90" s="74" t="s">
        <v>266</v>
      </c>
      <c r="D90" s="74" t="s">
        <v>671</v>
      </c>
      <c r="E90" s="75" t="s">
        <v>2936</v>
      </c>
      <c r="F90" s="136">
        <v>2</v>
      </c>
      <c r="G90" s="243">
        <f>VLOOKUP(D90,Engines_all!$A$3:$AZ$843,52,FALSE)</f>
        <v>29.62</v>
      </c>
      <c r="H90" s="74">
        <f>ALECA_Input!C93</f>
        <v>0</v>
      </c>
      <c r="I90" s="82">
        <f t="shared" si="124"/>
        <v>0</v>
      </c>
      <c r="J90" s="82">
        <f t="shared" si="125"/>
        <v>0</v>
      </c>
      <c r="K90" s="82">
        <f t="shared" si="126"/>
        <v>0</v>
      </c>
      <c r="L90" s="82">
        <f t="shared" si="127"/>
        <v>0</v>
      </c>
      <c r="M90" s="161">
        <f t="shared" si="128"/>
        <v>0</v>
      </c>
      <c r="N90" s="82">
        <f t="shared" si="129"/>
        <v>0</v>
      </c>
      <c r="O90" s="82">
        <f t="shared" si="130"/>
        <v>0</v>
      </c>
      <c r="P90" s="262">
        <f t="shared" si="131"/>
        <v>0</v>
      </c>
      <c r="Q90" s="76">
        <f>VLOOKUP($D90,Engines_all!$A$3:'Engines_all'!$V$843,11,FALSE)</f>
        <v>68.630399999999995</v>
      </c>
      <c r="R90" s="78">
        <f>VLOOKUP($D90,Engines_all!$A$3:'Engines_all'!$V$843,12,FALSE)</f>
        <v>0.85284466799999992</v>
      </c>
      <c r="S90" s="78">
        <f>VLOOKUP($D90,Engines_all!$A$3:'Engines_all'!$V$843,13,FALSE)</f>
        <v>2.8669652399999995E-2</v>
      </c>
      <c r="T90" s="78">
        <f>VLOOKUP($D90,Engines_all!$A$3:'Engines_all'!$V$843,14,FALSE)</f>
        <v>0.14744186400000001</v>
      </c>
      <c r="U90" s="78">
        <f>VLOOKUP($D90,Engines_all!$A$3:'Engines_all'!$V$843,15,FALSE)</f>
        <v>6.3121836137184327E-3</v>
      </c>
      <c r="V90" s="222">
        <f>VLOOKUP($D90,Engines_all!$A$3:'Engines_all'!$V$843,16,FALSE)</f>
        <v>2.1660821254716516E+16</v>
      </c>
      <c r="W90" s="77">
        <f t="shared" si="132"/>
        <v>3.4315199999999997E-2</v>
      </c>
      <c r="X90" s="78">
        <f>IF(E90="K",Q90*'Rest Calc'!B$16,Q90*'Rest Calc'!B$17)</f>
        <v>216.87206399999999</v>
      </c>
      <c r="Y90" s="76">
        <f>VLOOKUP($D90,Engines_all!$A$3:'Engines_all'!$V$843,17,FALSE)</f>
        <v>2262</v>
      </c>
      <c r="Z90" s="76">
        <f>VLOOKUP($D90,Engines_all!$A$3:'Engines_all'!$V$843,18,FALSE)</f>
        <v>7.60032</v>
      </c>
      <c r="AA90" s="76">
        <f>VLOOKUP($D90,Engines_all!$A$3:'Engines_all'!$V$843,19,FALSE)</f>
        <v>11.203686000000001</v>
      </c>
      <c r="AB90" s="76">
        <f>VLOOKUP($D90,Engines_all!$A$3:'Engines_all'!$V$843,20,FALSE)</f>
        <v>59.53584</v>
      </c>
      <c r="AC90" s="76">
        <f>VLOOKUP($D90,Engines_all!$A$3:'Engines_all'!$V$843,21,FALSE)</f>
        <v>0.22499182641778789</v>
      </c>
      <c r="AD90" s="222">
        <f>VLOOKUP($D90,Engines_all!$A$3:'Engines_all'!$V$843,22,FALSE)</f>
        <v>2276518959359845.5</v>
      </c>
      <c r="AE90" s="80">
        <f t="shared" si="133"/>
        <v>1.131</v>
      </c>
      <c r="AF90" s="79">
        <f>IF(E90="K",Y90*'Rest Calc'!B$16,Y90*'Rest Calc'!B$17)</f>
        <v>7147.92</v>
      </c>
      <c r="AG90" s="79">
        <f>IF(ALECA_Input!D$121="Standard",VLOOKUP($B90,$A$211:$J$218,6,FALSE),VLOOKUP($B90,$A$211:$J$218,10,FALSE))</f>
        <v>0</v>
      </c>
      <c r="AH90" s="163">
        <f t="shared" si="213"/>
        <v>94.81</v>
      </c>
      <c r="AI90" s="75">
        <v>5</v>
      </c>
      <c r="AJ90" s="74"/>
      <c r="AK90" s="74"/>
      <c r="AL90" s="74"/>
    </row>
    <row r="91" spans="1:38" x14ac:dyDescent="0.25">
      <c r="A91" s="74" t="s">
        <v>458</v>
      </c>
      <c r="B91" s="75" t="s">
        <v>396</v>
      </c>
      <c r="C91" s="74" t="s">
        <v>267</v>
      </c>
      <c r="D91" s="74" t="s">
        <v>672</v>
      </c>
      <c r="E91" s="75" t="s">
        <v>2936</v>
      </c>
      <c r="F91" s="136">
        <v>2</v>
      </c>
      <c r="G91" s="243">
        <f>VLOOKUP(D91,Engines_all!$A$3:$AZ$843,52,FALSE)</f>
        <v>9.7900000000000009</v>
      </c>
      <c r="H91" s="74">
        <f>ALECA_Input!C94</f>
        <v>0</v>
      </c>
      <c r="I91" s="82">
        <f t="shared" si="124"/>
        <v>0</v>
      </c>
      <c r="J91" s="82">
        <f t="shared" si="125"/>
        <v>0</v>
      </c>
      <c r="K91" s="82">
        <f t="shared" si="126"/>
        <v>0</v>
      </c>
      <c r="L91" s="82">
        <f t="shared" si="127"/>
        <v>0</v>
      </c>
      <c r="M91" s="161">
        <f t="shared" si="128"/>
        <v>0</v>
      </c>
      <c r="N91" s="82">
        <f t="shared" si="129"/>
        <v>0</v>
      </c>
      <c r="O91" s="82">
        <f t="shared" si="130"/>
        <v>0</v>
      </c>
      <c r="P91" s="262">
        <f t="shared" si="131"/>
        <v>0</v>
      </c>
      <c r="Q91" s="76">
        <f>VLOOKUP($D91,Engines_all!$A$3:'Engines_all'!$V$843,11,FALSE)</f>
        <v>12.168000000000001</v>
      </c>
      <c r="R91" s="78">
        <f>VLOOKUP($D91,Engines_all!$A$3:'Engines_all'!$V$843,12,FALSE)</f>
        <v>6.9021840000000001E-2</v>
      </c>
      <c r="S91" s="78">
        <f>VLOOKUP($D91,Engines_all!$A$3:'Engines_all'!$V$843,13,FALSE)</f>
        <v>2.1762000000000004E-2</v>
      </c>
      <c r="T91" s="78">
        <f>VLOOKUP($D91,Engines_all!$A$3:'Engines_all'!$V$843,14,FALSE)</f>
        <v>0.22072080000000005</v>
      </c>
      <c r="U91" s="78">
        <f>VLOOKUP($D91,Engines_all!$A$3:'Engines_all'!$V$843,15,FALSE)</f>
        <v>2.6722709037898117E-3</v>
      </c>
      <c r="V91" s="222">
        <f>VLOOKUP($D91,Engines_all!$A$3:'Engines_all'!$V$843,16,FALSE)</f>
        <v>2.1508272359637288E+16</v>
      </c>
      <c r="W91" s="77">
        <f t="shared" si="132"/>
        <v>6.0840000000000009E-3</v>
      </c>
      <c r="X91" s="78">
        <f>IF(E91="K",Q91*'Rest Calc'!B$16,Q91*'Rest Calc'!B$17)</f>
        <v>38.450880000000005</v>
      </c>
      <c r="Y91" s="76">
        <f>VLOOKUP($D91,Engines_all!$A$3:'Engines_all'!$V$843,17,FALSE)</f>
        <v>1380</v>
      </c>
      <c r="Z91" s="76">
        <f>VLOOKUP($D91,Engines_all!$A$3:'Engines_all'!$V$843,18,FALSE)</f>
        <v>2.415</v>
      </c>
      <c r="AA91" s="76">
        <f>VLOOKUP($D91,Engines_all!$A$3:'Engines_all'!$V$843,19,FALSE)</f>
        <v>69.69</v>
      </c>
      <c r="AB91" s="76">
        <f>VLOOKUP($D91,Engines_all!$A$3:'Engines_all'!$V$843,20,FALSE)</f>
        <v>182.16</v>
      </c>
      <c r="AC91" s="76">
        <f>VLOOKUP($D91,Engines_all!$A$3:'Engines_all'!$V$843,21,FALSE)</f>
        <v>0.61603175980769032</v>
      </c>
      <c r="AD91" s="222">
        <f>VLOOKUP($D91,Engines_all!$A$3:'Engines_all'!$V$843,22,FALSE)</f>
        <v>6714173086656880</v>
      </c>
      <c r="AE91" s="80">
        <f t="shared" si="133"/>
        <v>0.69000000000000006</v>
      </c>
      <c r="AF91" s="79">
        <f>IF(E91="K",Y91*'Rest Calc'!B$16,Y91*'Rest Calc'!B$17)</f>
        <v>4360.8</v>
      </c>
      <c r="AG91" s="79">
        <f>IF(ALECA_Input!D$121="Standard",VLOOKUP($B91,$A$211:$J$218,6,FALSE),VLOOKUP($B91,$A$211:$J$218,10,FALSE))</f>
        <v>0</v>
      </c>
      <c r="AH91" s="163">
        <f t="shared" si="213"/>
        <v>84.894999999999996</v>
      </c>
      <c r="AI91" s="75">
        <v>5</v>
      </c>
      <c r="AJ91" s="74"/>
      <c r="AK91" s="74"/>
      <c r="AL91" s="74"/>
    </row>
    <row r="92" spans="1:38" x14ac:dyDescent="0.25">
      <c r="A92" s="74" t="s">
        <v>268</v>
      </c>
      <c r="B92" s="75" t="s">
        <v>384</v>
      </c>
      <c r="C92" s="74" t="s">
        <v>269</v>
      </c>
      <c r="D92" s="74" t="s">
        <v>1001</v>
      </c>
      <c r="E92" s="75" t="s">
        <v>2936</v>
      </c>
      <c r="F92" s="136">
        <v>2</v>
      </c>
      <c r="G92" s="243">
        <f>VLOOKUP(D92,Engines_all!$A$3:$AZ$843,52,FALSE)</f>
        <v>0</v>
      </c>
      <c r="H92" s="74">
        <f>ALECA_Input!C95</f>
        <v>0</v>
      </c>
      <c r="I92" s="82">
        <f t="shared" si="124"/>
        <v>0</v>
      </c>
      <c r="J92" s="82">
        <f t="shared" si="125"/>
        <v>0</v>
      </c>
      <c r="K92" s="82">
        <f t="shared" si="126"/>
        <v>0</v>
      </c>
      <c r="L92" s="82">
        <f t="shared" si="127"/>
        <v>0</v>
      </c>
      <c r="M92" s="161">
        <f t="shared" si="128"/>
        <v>0</v>
      </c>
      <c r="N92" s="82">
        <f t="shared" si="129"/>
        <v>0</v>
      </c>
      <c r="O92" s="82">
        <f t="shared" si="130"/>
        <v>0</v>
      </c>
      <c r="P92" s="262">
        <f t="shared" si="131"/>
        <v>0</v>
      </c>
      <c r="Q92" s="76">
        <f>VLOOKUP($D92,Engines_all!$A$3:'Engines_all'!$V$843,11,FALSE)</f>
        <v>31.529999999999998</v>
      </c>
      <c r="R92" s="78">
        <f>VLOOKUP($D92,Engines_all!$A$3:'Engines_all'!$V$843,12,FALSE)</f>
        <v>0.17838899999999999</v>
      </c>
      <c r="S92" s="78">
        <f>VLOOKUP($D92,Engines_all!$A$3:'Engines_all'!$V$843,13,FALSE)</f>
        <v>1.5419999999999998E-2</v>
      </c>
      <c r="T92" s="78">
        <f>VLOOKUP($D92,Engines_all!$A$3:'Engines_all'!$V$843,14,FALSE)</f>
        <v>0.103977</v>
      </c>
      <c r="U92" s="78">
        <f>VLOOKUP($D92,Engines_all!$A$3:'Engines_all'!$V$843,15,FALSE)</f>
        <v>1.2731677800000001E-2</v>
      </c>
      <c r="V92" s="222">
        <f>VLOOKUP($D92,Engines_all!$A$3:'Engines_all'!$V$843,16,FALSE)</f>
        <v>7.59222E+17</v>
      </c>
      <c r="W92" s="77">
        <f t="shared" si="132"/>
        <v>1.5764999999999998E-2</v>
      </c>
      <c r="X92" s="78">
        <f>IF(E92="K",Q92*'Rest Calc'!B$16,Q92*'Rest Calc'!B$17)</f>
        <v>99.634799999999998</v>
      </c>
      <c r="Y92" s="76">
        <f>VLOOKUP($D92,Engines_all!$A$3:'Engines_all'!$V$843,17,FALSE)</f>
        <v>1559.9999999999998</v>
      </c>
      <c r="Z92" s="76">
        <f>VLOOKUP($D92,Engines_all!$A$3:'Engines_all'!$V$843,18,FALSE)</f>
        <v>3.4319999999999999</v>
      </c>
      <c r="AA92" s="76">
        <f>VLOOKUP($D92,Engines_all!$A$3:'Engines_all'!$V$843,19,FALSE)</f>
        <v>1.5599999999999998</v>
      </c>
      <c r="AB92" s="76">
        <f>VLOOKUP($D92,Engines_all!$A$3:'Engines_all'!$V$843,20,FALSE)</f>
        <v>24.959999999999997</v>
      </c>
      <c r="AC92" s="76">
        <f>VLOOKUP($D92,Engines_all!$A$3:'Engines_all'!$V$843,21,FALSE)</f>
        <v>0.15854279999999998</v>
      </c>
      <c r="AD92" s="222">
        <f>VLOOKUP($D92,Engines_all!$A$3:'Engines_all'!$V$843,22,FALSE)</f>
        <v>3.2213999999999996E+16</v>
      </c>
      <c r="AE92" s="80">
        <f t="shared" si="133"/>
        <v>0.77999999999999992</v>
      </c>
      <c r="AF92" s="79">
        <f>IF(E92="K",Y92*'Rest Calc'!B$16,Y92*'Rest Calc'!B$17)</f>
        <v>4929.5999999999995</v>
      </c>
      <c r="AG92" s="79">
        <f>IF(ALECA_Input!D$121="Standard",VLOOKUP($B92,$A$211:$J$218,6,FALSE),VLOOKUP($B92,$A$211:$J$218,10,FALSE))</f>
        <v>5</v>
      </c>
      <c r="AH92" s="163">
        <f t="shared" si="213"/>
        <v>80</v>
      </c>
      <c r="AI92" s="75">
        <v>8</v>
      </c>
      <c r="AJ92" s="74"/>
      <c r="AK92" s="74"/>
      <c r="AL92" s="74"/>
    </row>
    <row r="93" spans="1:38" x14ac:dyDescent="0.25">
      <c r="A93" s="74" t="s">
        <v>270</v>
      </c>
      <c r="B93" s="75" t="s">
        <v>385</v>
      </c>
      <c r="C93" s="74" t="s">
        <v>271</v>
      </c>
      <c r="D93" s="74" t="s">
        <v>2648</v>
      </c>
      <c r="E93" s="75" t="s">
        <v>2937</v>
      </c>
      <c r="F93" s="136">
        <v>1</v>
      </c>
      <c r="G93" s="243">
        <f>VLOOKUP(D93,Engines_all!$A$3:$AZ$843,52,FALSE)</f>
        <v>0</v>
      </c>
      <c r="H93" s="74">
        <f>ALECA_Input!C96</f>
        <v>0</v>
      </c>
      <c r="I93" s="82">
        <f t="shared" si="124"/>
        <v>0</v>
      </c>
      <c r="J93" s="82">
        <f t="shared" si="125"/>
        <v>0</v>
      </c>
      <c r="K93" s="82">
        <f t="shared" si="126"/>
        <v>0</v>
      </c>
      <c r="L93" s="82">
        <f t="shared" si="127"/>
        <v>0</v>
      </c>
      <c r="M93" s="161">
        <f t="shared" si="128"/>
        <v>0</v>
      </c>
      <c r="N93" s="82">
        <f t="shared" si="129"/>
        <v>0</v>
      </c>
      <c r="O93" s="82">
        <f t="shared" si="130"/>
        <v>0</v>
      </c>
      <c r="P93" s="262">
        <f t="shared" si="131"/>
        <v>0</v>
      </c>
      <c r="Q93" s="76">
        <f>VLOOKUP($D93,Engines_all!$A$3:'Engines_all'!$V$843,11,FALSE)</f>
        <v>9.2555999999999994</v>
      </c>
      <c r="R93" s="78">
        <f>VLOOKUP($D93,Engines_all!$A$3:'Engines_all'!$V$843,12,FALSE)</f>
        <v>5.1174864E-2</v>
      </c>
      <c r="S93" s="78">
        <f>VLOOKUP($D93,Engines_all!$A$3:'Engines_all'!$V$843,13,FALSE)</f>
        <v>0.11131469999999999</v>
      </c>
      <c r="T93" s="78">
        <f>VLOOKUP($D93,Engines_all!$A$3:'Engines_all'!$V$843,14,FALSE)</f>
        <v>8.319986243999999</v>
      </c>
      <c r="U93" s="78">
        <f>VLOOKUP($D93,Engines_all!$A$3:'Engines_all'!$V$843,15,FALSE)</f>
        <v>8.9592062759999997E-3</v>
      </c>
      <c r="V93" s="222">
        <f>VLOOKUP($D93,Engines_all!$A$3:'Engines_all'!$V$843,16,FALSE)</f>
        <v>958851821951126.13</v>
      </c>
      <c r="W93" s="77">
        <f t="shared" si="132"/>
        <v>4.6277999999999996E-3</v>
      </c>
      <c r="X93" s="78">
        <f>IF(E93="K",Q93*'Rest Calc'!B$16,Q93*'Rest Calc'!B$17)</f>
        <v>28.229579999999995</v>
      </c>
      <c r="Y93" s="76">
        <f>VLOOKUP($D93,Engines_all!$A$3:'Engines_all'!$V$843,17,FALSE)</f>
        <v>228</v>
      </c>
      <c r="Z93" s="76">
        <f>VLOOKUP($D93,Engines_all!$A$3:'Engines_all'!$V$843,18,FALSE)</f>
        <v>0.11856000000000001</v>
      </c>
      <c r="AA93" s="76">
        <f>VLOOKUP($D93,Engines_all!$A$3:'Engines_all'!$V$843,19,FALSE)</f>
        <v>9.7173599999999993</v>
      </c>
      <c r="AB93" s="76">
        <f>VLOOKUP($D93,Engines_all!$A$3:'Engines_all'!$V$843,20,FALSE)</f>
        <v>265.25292000000002</v>
      </c>
      <c r="AC93" s="76">
        <f>VLOOKUP($D93,Engines_all!$A$3:'Engines_all'!$V$843,21,FALSE)</f>
        <v>8.8218991199999999E-2</v>
      </c>
      <c r="AD93" s="222">
        <f>VLOOKUP($D93,Engines_all!$A$3:'Engines_all'!$V$843,22,FALSE)</f>
        <v>65894109254656.227</v>
      </c>
      <c r="AE93" s="80">
        <f t="shared" si="133"/>
        <v>0.114</v>
      </c>
      <c r="AF93" s="79">
        <f>IF(E93="K",Y93*'Rest Calc'!B$16,Y93*'Rest Calc'!B$17)</f>
        <v>695.4</v>
      </c>
      <c r="AG93" s="79">
        <f>IF(ALECA_Input!D$121="Standard",VLOOKUP($B93,$A$211:$J$218,6,FALSE),VLOOKUP($B93,$A$211:$J$218,10,FALSE))</f>
        <v>0</v>
      </c>
      <c r="AH93" s="163">
        <f t="shared" si="213"/>
        <v>80</v>
      </c>
      <c r="AI93" s="75">
        <v>7</v>
      </c>
      <c r="AJ93" s="74"/>
      <c r="AK93" s="74"/>
      <c r="AL93" s="74"/>
    </row>
    <row r="94" spans="1:38" x14ac:dyDescent="0.25">
      <c r="A94" s="74" t="s">
        <v>459</v>
      </c>
      <c r="B94" s="75" t="s">
        <v>396</v>
      </c>
      <c r="C94" s="74" t="s">
        <v>272</v>
      </c>
      <c r="D94" s="74" t="s">
        <v>672</v>
      </c>
      <c r="E94" s="75" t="s">
        <v>2936</v>
      </c>
      <c r="F94" s="136">
        <v>2</v>
      </c>
      <c r="G94" s="243">
        <f>VLOOKUP(D94,Engines_all!$A$3:$AZ$843,52,FALSE)</f>
        <v>9.7900000000000009</v>
      </c>
      <c r="H94" s="74">
        <f>ALECA_Input!C97</f>
        <v>0</v>
      </c>
      <c r="I94" s="82">
        <f t="shared" si="124"/>
        <v>0</v>
      </c>
      <c r="J94" s="82">
        <f t="shared" si="125"/>
        <v>0</v>
      </c>
      <c r="K94" s="82">
        <f t="shared" si="126"/>
        <v>0</v>
      </c>
      <c r="L94" s="82">
        <f t="shared" si="127"/>
        <v>0</v>
      </c>
      <c r="M94" s="161">
        <f t="shared" si="128"/>
        <v>0</v>
      </c>
      <c r="N94" s="82">
        <f t="shared" si="129"/>
        <v>0</v>
      </c>
      <c r="O94" s="82">
        <f t="shared" si="130"/>
        <v>0</v>
      </c>
      <c r="P94" s="262">
        <f t="shared" si="131"/>
        <v>0</v>
      </c>
      <c r="Q94" s="76">
        <f>VLOOKUP($D94,Engines_all!$A$3:'Engines_all'!$V$843,11,FALSE)</f>
        <v>12.168000000000001</v>
      </c>
      <c r="R94" s="78">
        <f>VLOOKUP($D94,Engines_all!$A$3:'Engines_all'!$V$843,12,FALSE)</f>
        <v>6.9021840000000001E-2</v>
      </c>
      <c r="S94" s="78">
        <f>VLOOKUP($D94,Engines_all!$A$3:'Engines_all'!$V$843,13,FALSE)</f>
        <v>2.1762000000000004E-2</v>
      </c>
      <c r="T94" s="78">
        <f>VLOOKUP($D94,Engines_all!$A$3:'Engines_all'!$V$843,14,FALSE)</f>
        <v>0.22072080000000005</v>
      </c>
      <c r="U94" s="78">
        <f>VLOOKUP($D94,Engines_all!$A$3:'Engines_all'!$V$843,15,FALSE)</f>
        <v>2.6722709037898117E-3</v>
      </c>
      <c r="V94" s="222">
        <f>VLOOKUP($D94,Engines_all!$A$3:'Engines_all'!$V$843,16,FALSE)</f>
        <v>2.1508272359637288E+16</v>
      </c>
      <c r="W94" s="77">
        <f t="shared" si="132"/>
        <v>6.0840000000000009E-3</v>
      </c>
      <c r="X94" s="78">
        <f>IF(E94="K",Q94*'Rest Calc'!B$16,Q94*'Rest Calc'!B$17)</f>
        <v>38.450880000000005</v>
      </c>
      <c r="Y94" s="76">
        <f>VLOOKUP($D94,Engines_all!$A$3:'Engines_all'!$V$843,17,FALSE)</f>
        <v>1380</v>
      </c>
      <c r="Z94" s="76">
        <f>VLOOKUP($D94,Engines_all!$A$3:'Engines_all'!$V$843,18,FALSE)</f>
        <v>2.415</v>
      </c>
      <c r="AA94" s="76">
        <f>VLOOKUP($D94,Engines_all!$A$3:'Engines_all'!$V$843,19,FALSE)</f>
        <v>69.69</v>
      </c>
      <c r="AB94" s="76">
        <f>VLOOKUP($D94,Engines_all!$A$3:'Engines_all'!$V$843,20,FALSE)</f>
        <v>182.16</v>
      </c>
      <c r="AC94" s="76">
        <f>VLOOKUP($D94,Engines_all!$A$3:'Engines_all'!$V$843,21,FALSE)</f>
        <v>0.61603175980769032</v>
      </c>
      <c r="AD94" s="222">
        <f>VLOOKUP($D94,Engines_all!$A$3:'Engines_all'!$V$843,22,FALSE)</f>
        <v>6714173086656880</v>
      </c>
      <c r="AE94" s="80">
        <f t="shared" si="133"/>
        <v>0.69000000000000006</v>
      </c>
      <c r="AF94" s="79">
        <f>IF(E94="K",Y94*'Rest Calc'!B$16,Y94*'Rest Calc'!B$17)</f>
        <v>4360.8</v>
      </c>
      <c r="AG94" s="79">
        <f>IF(ALECA_Input!D$121="Standard",VLOOKUP($B94,$A$211:$J$218,6,FALSE),VLOOKUP($B94,$A$211:$J$218,10,FALSE))</f>
        <v>0</v>
      </c>
      <c r="AH94" s="163">
        <f t="shared" si="213"/>
        <v>84.894999999999996</v>
      </c>
      <c r="AI94" s="75">
        <v>5</v>
      </c>
      <c r="AJ94" s="74"/>
      <c r="AK94" s="74"/>
      <c r="AL94" s="74"/>
    </row>
    <row r="95" spans="1:38" x14ac:dyDescent="0.25">
      <c r="A95" s="74" t="s">
        <v>273</v>
      </c>
      <c r="B95" s="75" t="s">
        <v>386</v>
      </c>
      <c r="C95" s="74" t="s">
        <v>274</v>
      </c>
      <c r="D95" s="74" t="s">
        <v>2909</v>
      </c>
      <c r="E95" s="75" t="s">
        <v>2936</v>
      </c>
      <c r="F95" s="136">
        <v>2</v>
      </c>
      <c r="G95" s="243">
        <f>VLOOKUP(D95,Engines_all!$A$3:$AZ$843,52,FALSE)</f>
        <v>0</v>
      </c>
      <c r="H95" s="74">
        <f>ALECA_Input!C98</f>
        <v>0</v>
      </c>
      <c r="I95" s="82">
        <f t="shared" ref="I95:I126" si="214">$H95/2*$F95*(R95+(Z95*$AG95/1000))</f>
        <v>0</v>
      </c>
      <c r="J95" s="82">
        <f t="shared" ref="J95:J126" si="215">$H95/2*$F95*(S95+(AA95*$AG95/1000))</f>
        <v>0</v>
      </c>
      <c r="K95" s="82">
        <f t="shared" ref="K95:K126" si="216">$H95/2*$F95*(T95+(AB95*$AG95/1000))</f>
        <v>0</v>
      </c>
      <c r="L95" s="82">
        <f t="shared" ref="L95:L126" si="217">$H95/2*$F95*(U95+(AC95*$AG95/1000))</f>
        <v>0</v>
      </c>
      <c r="M95" s="161">
        <f t="shared" ref="M95:M126" si="218">H95/2*$F95*(V95+AD95*AG95)</f>
        <v>0</v>
      </c>
      <c r="N95" s="82">
        <f t="shared" ref="N95:N126" si="219">$H95/2*$F95*(W95+(AE95*$AG95/1000))</f>
        <v>0</v>
      </c>
      <c r="O95" s="82">
        <f t="shared" ref="O95:O126" si="220">$H95/2*$F95*(X95+(AF95*$AG95/1000))</f>
        <v>0</v>
      </c>
      <c r="P95" s="262">
        <f t="shared" ref="P95:P126" si="221">F95*H95/2*AH95/1000</f>
        <v>0</v>
      </c>
      <c r="Q95" s="76">
        <f>VLOOKUP($D95,Engines_all!$A$3:'Engines_all'!$V$843,11,FALSE)</f>
        <v>44.475000000000009</v>
      </c>
      <c r="R95" s="78">
        <f>VLOOKUP($D95,Engines_all!$A$3:'Engines_all'!$V$843,12,FALSE)</f>
        <v>0.59835329999999998</v>
      </c>
      <c r="S95" s="78">
        <f>VLOOKUP($D95,Engines_all!$A$3:'Engines_all'!$V$843,13,FALSE)</f>
        <v>0</v>
      </c>
      <c r="T95" s="78">
        <f>VLOOKUP($D95,Engines_all!$A$3:'Engines_all'!$V$843,14,FALSE)</f>
        <v>0.11874390000000001</v>
      </c>
      <c r="U95" s="78">
        <f>VLOOKUP($D95,Engines_all!$A$3:'Engines_all'!$V$843,15,FALSE)</f>
        <v>2.0427804600000002E-2</v>
      </c>
      <c r="V95" s="222">
        <f>VLOOKUP($D95,Engines_all!$A$3:'Engines_all'!$V$843,16,FALSE)</f>
        <v>4.8876366643394752E+17</v>
      </c>
      <c r="W95" s="77">
        <f t="shared" ref="W95:W126" si="222">Q95*0.0005</f>
        <v>2.2237500000000004E-2</v>
      </c>
      <c r="X95" s="78">
        <f>IF(E95="K",Q95*'Rest Calc'!B$16,Q95*'Rest Calc'!B$17)</f>
        <v>140.54100000000003</v>
      </c>
      <c r="Y95" s="76">
        <f>VLOOKUP($D95,Engines_all!$A$3:'Engines_all'!$V$843,17,FALSE)</f>
        <v>1999.312310342166</v>
      </c>
      <c r="Z95" s="76">
        <f>VLOOKUP($D95,Engines_all!$A$3:'Engines_all'!$V$843,18,FALSE)</f>
        <v>9.816428571428613</v>
      </c>
      <c r="AA95" s="76">
        <f>VLOOKUP($D95,Engines_all!$A$3:'Engines_all'!$V$843,19,FALSE)</f>
        <v>0</v>
      </c>
      <c r="AB95" s="76">
        <f>VLOOKUP($D95,Engines_all!$A$3:'Engines_all'!$V$843,20,FALSE)</f>
        <v>39.503591778711488</v>
      </c>
      <c r="AC95" s="76">
        <f>VLOOKUP($D95,Engines_all!$A$3:'Engines_all'!$V$843,21,FALSE)</f>
        <v>0.4967491366276145</v>
      </c>
      <c r="AD95" s="222">
        <f>VLOOKUP($D95,Engines_all!$A$3:'Engines_all'!$V$843,22,FALSE)</f>
        <v>2.260332213206982E+16</v>
      </c>
      <c r="AE95" s="80">
        <f t="shared" ref="AE95:AE126" si="223">Y95*0.0005</f>
        <v>0.99965615517108308</v>
      </c>
      <c r="AF95" s="79">
        <f>IF(E95="K",Y95*'Rest Calc'!B$16,Y95*'Rest Calc'!B$17)</f>
        <v>6317.8269006812452</v>
      </c>
      <c r="AG95" s="79">
        <f>IF(ALECA_Input!D$121="Standard",VLOOKUP($B95,$A$211:$J$218,6,FALSE),VLOOKUP($B95,$A$211:$J$218,10,FALSE))</f>
        <v>0</v>
      </c>
      <c r="AH95" s="163">
        <v>180</v>
      </c>
      <c r="AI95" s="75">
        <v>6</v>
      </c>
      <c r="AJ95" s="74"/>
      <c r="AK95" s="74"/>
      <c r="AL95" s="74"/>
    </row>
    <row r="96" spans="1:38" x14ac:dyDescent="0.25">
      <c r="A96" s="397" t="s">
        <v>3463</v>
      </c>
      <c r="B96" s="75" t="s">
        <v>396</v>
      </c>
      <c r="C96" s="74" t="s">
        <v>275</v>
      </c>
      <c r="D96" s="74" t="s">
        <v>673</v>
      </c>
      <c r="E96" s="75" t="s">
        <v>2936</v>
      </c>
      <c r="F96" s="136">
        <v>2</v>
      </c>
      <c r="G96" s="243">
        <f>VLOOKUP(D96,Engines_all!$A$3:$AZ$843,52,FALSE)</f>
        <v>41.01</v>
      </c>
      <c r="H96" s="74">
        <f>ALECA_Input!C99</f>
        <v>0</v>
      </c>
      <c r="I96" s="82">
        <f t="shared" si="214"/>
        <v>0</v>
      </c>
      <c r="J96" s="82">
        <f t="shared" si="215"/>
        <v>0</v>
      </c>
      <c r="K96" s="82">
        <f t="shared" si="216"/>
        <v>0</v>
      </c>
      <c r="L96" s="82">
        <f t="shared" si="217"/>
        <v>0</v>
      </c>
      <c r="M96" s="161">
        <f t="shared" si="218"/>
        <v>0</v>
      </c>
      <c r="N96" s="82">
        <f t="shared" si="219"/>
        <v>0</v>
      </c>
      <c r="O96" s="82">
        <f t="shared" si="220"/>
        <v>0</v>
      </c>
      <c r="P96" s="262">
        <f t="shared" si="221"/>
        <v>0</v>
      </c>
      <c r="Q96" s="76">
        <f>VLOOKUP($D96,Engines_all!$A$3:'Engines_all'!$V$843,11,FALSE)</f>
        <v>88.003799999999998</v>
      </c>
      <c r="R96" s="78">
        <f>VLOOKUP($D96,Engines_all!$A$3:'Engines_all'!$V$843,12,FALSE)</f>
        <v>0.793784304</v>
      </c>
      <c r="S96" s="78">
        <f>VLOOKUP($D96,Engines_all!$A$3:'Engines_all'!$V$843,13,FALSE)</f>
        <v>6.7950119999999996E-3</v>
      </c>
      <c r="T96" s="78">
        <f>VLOOKUP($D96,Engines_all!$A$3:'Engines_all'!$V$843,14,FALSE)</f>
        <v>5.2339199999999995E-2</v>
      </c>
      <c r="U96" s="78">
        <f>VLOOKUP($D96,Engines_all!$A$3:'Engines_all'!$V$843,15,FALSE)</f>
        <v>1.0413578506999872E-2</v>
      </c>
      <c r="V96" s="222">
        <f>VLOOKUP($D96,Engines_all!$A$3:'Engines_all'!$V$843,16,FALSE)</f>
        <v>7.8457304753414016E+16</v>
      </c>
      <c r="W96" s="77">
        <f t="shared" si="222"/>
        <v>4.4001899999999997E-2</v>
      </c>
      <c r="X96" s="78">
        <f>IF(E96="K",Q96*'Rest Calc'!B$16,Q96*'Rest Calc'!B$17)</f>
        <v>278.09200800000002</v>
      </c>
      <c r="Y96" s="76">
        <f>VLOOKUP($D96,Engines_all!$A$3:'Engines_all'!$V$843,17,FALSE)</f>
        <v>2934</v>
      </c>
      <c r="Z96" s="76">
        <f>VLOOKUP($D96,Engines_all!$A$3:'Engines_all'!$V$843,18,FALSE)</f>
        <v>10.914480000000001</v>
      </c>
      <c r="AA96" s="76">
        <f>VLOOKUP($D96,Engines_all!$A$3:'Engines_all'!$V$843,19,FALSE)</f>
        <v>13.760460000000002</v>
      </c>
      <c r="AB96" s="76">
        <f>VLOOKUP($D96,Engines_all!$A$3:'Engines_all'!$V$843,20,FALSE)</f>
        <v>139.62906000000001</v>
      </c>
      <c r="AC96" s="76">
        <f>VLOOKUP($D96,Engines_all!$A$3:'Engines_all'!$V$843,21,FALSE)</f>
        <v>0.35931995190366317</v>
      </c>
      <c r="AD96" s="222">
        <f>VLOOKUP($D96,Engines_all!$A$3:'Engines_all'!$V$843,22,FALSE)</f>
        <v>6598289132417700</v>
      </c>
      <c r="AE96" s="80">
        <f t="shared" si="223"/>
        <v>1.4670000000000001</v>
      </c>
      <c r="AF96" s="79">
        <f>IF(E96="K",Y96*'Rest Calc'!B$16,Y96*'Rest Calc'!B$17)</f>
        <v>9271.44</v>
      </c>
      <c r="AG96" s="79">
        <f>IF(ALECA_Input!D$121="Standard",VLOOKUP($B96,$A$211:$J$218,6,FALSE),VLOOKUP($B96,$A$211:$J$218,10,FALSE))</f>
        <v>0</v>
      </c>
      <c r="AH96" s="163">
        <f>G96/2+80</f>
        <v>100.505</v>
      </c>
      <c r="AI96" s="75">
        <v>5</v>
      </c>
      <c r="AJ96" s="74"/>
      <c r="AK96" s="74"/>
      <c r="AL96" s="74"/>
    </row>
    <row r="97" spans="1:38" x14ac:dyDescent="0.25">
      <c r="A97" s="397" t="s">
        <v>460</v>
      </c>
      <c r="B97" s="75" t="s">
        <v>396</v>
      </c>
      <c r="C97" s="74" t="s">
        <v>275</v>
      </c>
      <c r="D97" s="74" t="s">
        <v>673</v>
      </c>
      <c r="E97" s="75" t="s">
        <v>2936</v>
      </c>
      <c r="F97" s="136">
        <v>2</v>
      </c>
      <c r="G97" s="243">
        <f>VLOOKUP(D97,Engines_all!$A$3:$AZ$843,52,FALSE)</f>
        <v>41.01</v>
      </c>
      <c r="H97" s="74">
        <f>ALECA_Input!C100</f>
        <v>0</v>
      </c>
      <c r="I97" s="82">
        <f t="shared" si="214"/>
        <v>0</v>
      </c>
      <c r="J97" s="82">
        <f t="shared" si="215"/>
        <v>0</v>
      </c>
      <c r="K97" s="82">
        <f t="shared" si="216"/>
        <v>0</v>
      </c>
      <c r="L97" s="82">
        <f t="shared" si="217"/>
        <v>0</v>
      </c>
      <c r="M97" s="161">
        <f t="shared" si="218"/>
        <v>0</v>
      </c>
      <c r="N97" s="82">
        <f t="shared" si="219"/>
        <v>0</v>
      </c>
      <c r="O97" s="82">
        <f t="shared" si="220"/>
        <v>0</v>
      </c>
      <c r="P97" s="262">
        <f t="shared" si="221"/>
        <v>0</v>
      </c>
      <c r="Q97" s="76">
        <f>VLOOKUP($D97,Engines_all!$A$3:'Engines_all'!$V$843,11,FALSE)</f>
        <v>88.003799999999998</v>
      </c>
      <c r="R97" s="78">
        <f>VLOOKUP($D97,Engines_all!$A$3:'Engines_all'!$V$843,12,FALSE)</f>
        <v>0.793784304</v>
      </c>
      <c r="S97" s="78">
        <f>VLOOKUP($D97,Engines_all!$A$3:'Engines_all'!$V$843,13,FALSE)</f>
        <v>6.7950119999999996E-3</v>
      </c>
      <c r="T97" s="78">
        <f>VLOOKUP($D97,Engines_all!$A$3:'Engines_all'!$V$843,14,FALSE)</f>
        <v>5.2339199999999995E-2</v>
      </c>
      <c r="U97" s="78">
        <f>VLOOKUP($D97,Engines_all!$A$3:'Engines_all'!$V$843,15,FALSE)</f>
        <v>1.0413578506999872E-2</v>
      </c>
      <c r="V97" s="222">
        <f>VLOOKUP($D97,Engines_all!$A$3:'Engines_all'!$V$843,16,FALSE)</f>
        <v>7.8457304753414016E+16</v>
      </c>
      <c r="W97" s="77">
        <f t="shared" si="222"/>
        <v>4.4001899999999997E-2</v>
      </c>
      <c r="X97" s="78">
        <f>IF(E97="K",Q97*'Rest Calc'!B$16,Q97*'Rest Calc'!B$17)</f>
        <v>278.09200800000002</v>
      </c>
      <c r="Y97" s="76">
        <f>VLOOKUP($D97,Engines_all!$A$3:'Engines_all'!$V$843,17,FALSE)</f>
        <v>2934</v>
      </c>
      <c r="Z97" s="76">
        <f>VLOOKUP($D97,Engines_all!$A$3:'Engines_all'!$V$843,18,FALSE)</f>
        <v>10.914480000000001</v>
      </c>
      <c r="AA97" s="76">
        <f>VLOOKUP($D97,Engines_all!$A$3:'Engines_all'!$V$843,19,FALSE)</f>
        <v>13.760460000000002</v>
      </c>
      <c r="AB97" s="76">
        <f>VLOOKUP($D97,Engines_all!$A$3:'Engines_all'!$V$843,20,FALSE)</f>
        <v>139.62906000000001</v>
      </c>
      <c r="AC97" s="76">
        <f>VLOOKUP($D97,Engines_all!$A$3:'Engines_all'!$V$843,21,FALSE)</f>
        <v>0.35931995190366317</v>
      </c>
      <c r="AD97" s="222">
        <f>VLOOKUP($D97,Engines_all!$A$3:'Engines_all'!$V$843,22,FALSE)</f>
        <v>6598289132417700</v>
      </c>
      <c r="AE97" s="80">
        <f t="shared" si="223"/>
        <v>1.4670000000000001</v>
      </c>
      <c r="AF97" s="79">
        <f>IF(E97="K",Y97*'Rest Calc'!B$16,Y97*'Rest Calc'!B$17)</f>
        <v>9271.44</v>
      </c>
      <c r="AG97" s="79">
        <f>IF(ALECA_Input!D$121="Standard",VLOOKUP($B97,$A$211:$J$218,6,FALSE),VLOOKUP($B97,$A$211:$J$218,10,FALSE))</f>
        <v>0</v>
      </c>
      <c r="AH97" s="163">
        <f>G97/2+80</f>
        <v>100.505</v>
      </c>
      <c r="AI97" s="75">
        <v>5</v>
      </c>
      <c r="AJ97" s="74"/>
      <c r="AK97" s="74"/>
      <c r="AL97" s="74"/>
    </row>
    <row r="98" spans="1:38" x14ac:dyDescent="0.25">
      <c r="A98" s="397" t="s">
        <v>461</v>
      </c>
      <c r="B98" s="75" t="s">
        <v>395</v>
      </c>
      <c r="C98" s="74" t="s">
        <v>1533</v>
      </c>
      <c r="D98" s="74" t="s">
        <v>1532</v>
      </c>
      <c r="E98" s="75" t="s">
        <v>2936</v>
      </c>
      <c r="F98" s="136">
        <v>2</v>
      </c>
      <c r="G98" s="243">
        <f>VLOOKUP(D98,Engines_all!$A$3:$AZ$843,52,FALSE)</f>
        <v>56.35</v>
      </c>
      <c r="H98" s="74">
        <f>ALECA_Input!C101</f>
        <v>0</v>
      </c>
      <c r="I98" s="82">
        <f t="shared" si="214"/>
        <v>0</v>
      </c>
      <c r="J98" s="82">
        <f t="shared" si="215"/>
        <v>0</v>
      </c>
      <c r="K98" s="82">
        <f t="shared" si="216"/>
        <v>0</v>
      </c>
      <c r="L98" s="82">
        <f t="shared" si="217"/>
        <v>0</v>
      </c>
      <c r="M98" s="161">
        <f t="shared" si="218"/>
        <v>0</v>
      </c>
      <c r="N98" s="82">
        <f t="shared" si="219"/>
        <v>0</v>
      </c>
      <c r="O98" s="82">
        <f t="shared" si="220"/>
        <v>0</v>
      </c>
      <c r="P98" s="262">
        <f t="shared" si="221"/>
        <v>0</v>
      </c>
      <c r="Q98" s="76">
        <f>VLOOKUP($D98,Engines_all!$A$3:'Engines_all'!$V$843,11,FALSE)</f>
        <v>132.096</v>
      </c>
      <c r="R98" s="78">
        <f>VLOOKUP($D98,Engines_all!$A$3:'Engines_all'!$V$843,12,FALSE)</f>
        <v>1.5703812000000001</v>
      </c>
      <c r="S98" s="78">
        <f>VLOOKUP($D98,Engines_all!$A$3:'Engines_all'!$V$843,13,FALSE)</f>
        <v>5.3499600000000008E-3</v>
      </c>
      <c r="T98" s="78">
        <f>VLOOKUP($D98,Engines_all!$A$3:'Engines_all'!$V$843,14,FALSE)</f>
        <v>0.23553912000000002</v>
      </c>
      <c r="U98" s="78">
        <f>VLOOKUP($D98,Engines_all!$A$3:'Engines_all'!$V$843,15,FALSE)</f>
        <v>8.2282527433699942E-3</v>
      </c>
      <c r="V98" s="222">
        <f>VLOOKUP($D98,Engines_all!$A$3:'Engines_all'!$V$843,16,FALSE)</f>
        <v>1.3580936778205116E+16</v>
      </c>
      <c r="W98" s="77">
        <f t="shared" si="222"/>
        <v>6.6048000000000009E-2</v>
      </c>
      <c r="X98" s="78">
        <f>IF(E98="K",Q98*'Rest Calc'!B$16,Q98*'Rest Calc'!B$17)</f>
        <v>417.42336</v>
      </c>
      <c r="Y98" s="76">
        <f>VLOOKUP($D98,Engines_all!$A$3:'Engines_all'!$V$843,17,FALSE)</f>
        <v>3780.0000000000005</v>
      </c>
      <c r="Z98" s="76">
        <f>VLOOKUP($D98,Engines_all!$A$3:'Engines_all'!$V$843,18,FALSE)</f>
        <v>17.010000000000002</v>
      </c>
      <c r="AA98" s="76">
        <f>VLOOKUP($D98,Engines_all!$A$3:'Engines_all'!$V$843,19,FALSE)</f>
        <v>0.6048</v>
      </c>
      <c r="AB98" s="76">
        <f>VLOOKUP($D98,Engines_all!$A$3:'Engines_all'!$V$843,20,FALSE)</f>
        <v>73.785600000000002</v>
      </c>
      <c r="AC98" s="76">
        <f>VLOOKUP($D98,Engines_all!$A$3:'Engines_all'!$V$843,21,FALSE)</f>
        <v>0.20157454521631737</v>
      </c>
      <c r="AD98" s="222">
        <f>VLOOKUP($D98,Engines_all!$A$3:'Engines_all'!$V$843,22,FALSE)</f>
        <v>644550478846660.88</v>
      </c>
      <c r="AE98" s="80">
        <f t="shared" si="223"/>
        <v>1.8900000000000003</v>
      </c>
      <c r="AF98" s="79">
        <f>IF(E98="K",Y98*'Rest Calc'!B$16,Y98*'Rest Calc'!B$17)</f>
        <v>11944.800000000001</v>
      </c>
      <c r="AG98" s="79">
        <f>IF(ALECA_Input!D$121="Standard",VLOOKUP($B98,$A$211:$J$218,6,FALSE),VLOOKUP($B98,$A$211:$J$218,10,FALSE))</f>
        <v>0</v>
      </c>
      <c r="AH98" s="163">
        <f>G98/2+80</f>
        <v>108.175</v>
      </c>
      <c r="AI98" s="75">
        <v>4</v>
      </c>
      <c r="AJ98" s="74"/>
      <c r="AK98" s="74"/>
      <c r="AL98" s="74"/>
    </row>
    <row r="99" spans="1:38" x14ac:dyDescent="0.25">
      <c r="A99" s="397" t="s">
        <v>462</v>
      </c>
      <c r="B99" s="75" t="s">
        <v>395</v>
      </c>
      <c r="C99" s="74" t="s">
        <v>277</v>
      </c>
      <c r="D99" s="74" t="s">
        <v>675</v>
      </c>
      <c r="E99" s="75" t="s">
        <v>2936</v>
      </c>
      <c r="F99" s="136">
        <v>2</v>
      </c>
      <c r="G99" s="243">
        <f>VLOOKUP(D99,Engines_all!$A$3:$AZ$843,52,FALSE)</f>
        <v>59.42</v>
      </c>
      <c r="H99" s="74">
        <f>ALECA_Input!C102</f>
        <v>0</v>
      </c>
      <c r="I99" s="82">
        <f t="shared" si="214"/>
        <v>0</v>
      </c>
      <c r="J99" s="82">
        <f t="shared" si="215"/>
        <v>0</v>
      </c>
      <c r="K99" s="82">
        <f t="shared" si="216"/>
        <v>0</v>
      </c>
      <c r="L99" s="82">
        <f t="shared" si="217"/>
        <v>0</v>
      </c>
      <c r="M99" s="161">
        <f t="shared" si="218"/>
        <v>0</v>
      </c>
      <c r="N99" s="82">
        <f t="shared" si="219"/>
        <v>0</v>
      </c>
      <c r="O99" s="82">
        <f t="shared" si="220"/>
        <v>0</v>
      </c>
      <c r="P99" s="262">
        <f t="shared" si="221"/>
        <v>0</v>
      </c>
      <c r="Q99" s="76">
        <f>VLOOKUP($D99,Engines_all!$A$3:'Engines_all'!$V$843,11,FALSE)</f>
        <v>140.13600000000002</v>
      </c>
      <c r="R99" s="78">
        <f>VLOOKUP($D99,Engines_all!$A$3:'Engines_all'!$V$843,12,FALSE)</f>
        <v>1.7431190400000001</v>
      </c>
      <c r="S99" s="78">
        <f>VLOOKUP($D99,Engines_all!$A$3:'Engines_all'!$V$843,13,FALSE)</f>
        <v>4.52112E-3</v>
      </c>
      <c r="T99" s="78">
        <f>VLOOKUP($D99,Engines_all!$A$3:'Engines_all'!$V$843,14,FALSE)</f>
        <v>0.23944584000000002</v>
      </c>
      <c r="U99" s="78">
        <f>VLOOKUP($D99,Engines_all!$A$3:'Engines_all'!$V$843,15,FALSE)</f>
        <v>9.5004404869986486E-3</v>
      </c>
      <c r="V99" s="222">
        <f>VLOOKUP($D99,Engines_all!$A$3:'Engines_all'!$V$843,16,FALSE)</f>
        <v>1.9698845088223648E+16</v>
      </c>
      <c r="W99" s="77">
        <f t="shared" si="222"/>
        <v>7.0068000000000019E-2</v>
      </c>
      <c r="X99" s="78">
        <f>IF(E99="K",Q99*'Rest Calc'!B$16,Q99*'Rest Calc'!B$17)</f>
        <v>442.82976000000008</v>
      </c>
      <c r="Y99" s="76">
        <f>VLOOKUP($D99,Engines_all!$A$3:'Engines_all'!$V$843,17,FALSE)</f>
        <v>3840</v>
      </c>
      <c r="Z99" s="76">
        <f>VLOOKUP($D99,Engines_all!$A$3:'Engines_all'!$V$843,18,FALSE)</f>
        <v>17.663999999999998</v>
      </c>
      <c r="AA99" s="76">
        <f>VLOOKUP($D99,Engines_all!$A$3:'Engines_all'!$V$843,19,FALSE)</f>
        <v>0.49919999999999998</v>
      </c>
      <c r="AB99" s="76">
        <f>VLOOKUP($D99,Engines_all!$A$3:'Engines_all'!$V$843,20,FALSE)</f>
        <v>70.08</v>
      </c>
      <c r="AC99" s="76">
        <f>VLOOKUP($D99,Engines_all!$A$3:'Engines_all'!$V$843,21,FALSE)</f>
        <v>0.20406335717213192</v>
      </c>
      <c r="AD99" s="222">
        <f>VLOOKUP($D99,Engines_all!$A$3:'Engines_all'!$V$843,22,FALSE)</f>
        <v>654781438828353.88</v>
      </c>
      <c r="AE99" s="80">
        <f t="shared" si="223"/>
        <v>1.92</v>
      </c>
      <c r="AF99" s="79">
        <f>IF(E99="K",Y99*'Rest Calc'!B$16,Y99*'Rest Calc'!B$17)</f>
        <v>12134.400000000001</v>
      </c>
      <c r="AG99" s="79">
        <f>IF(ALECA_Input!D$121="Standard",VLOOKUP($B99,$A$211:$J$218,6,FALSE),VLOOKUP($B99,$A$211:$J$218,10,FALSE))</f>
        <v>0</v>
      </c>
      <c r="AH99" s="163">
        <f>G99/2+80</f>
        <v>109.71000000000001</v>
      </c>
      <c r="AI99" s="75">
        <v>4</v>
      </c>
      <c r="AJ99" s="74"/>
      <c r="AK99" s="74"/>
      <c r="AL99" s="74"/>
    </row>
    <row r="100" spans="1:38" x14ac:dyDescent="0.25">
      <c r="A100" s="74" t="s">
        <v>278</v>
      </c>
      <c r="B100" s="75" t="s">
        <v>386</v>
      </c>
      <c r="C100" s="74" t="s">
        <v>279</v>
      </c>
      <c r="D100" s="74" t="s">
        <v>279</v>
      </c>
      <c r="E100" s="75" t="s">
        <v>2936</v>
      </c>
      <c r="F100" s="136">
        <v>2</v>
      </c>
      <c r="G100" s="243">
        <f>VLOOKUP(D100,Engines_all!$A$3:$AZ$843,52,FALSE)</f>
        <v>0</v>
      </c>
      <c r="H100" s="74">
        <f>ALECA_Input!G63</f>
        <v>0</v>
      </c>
      <c r="I100" s="82">
        <f t="shared" si="214"/>
        <v>0</v>
      </c>
      <c r="J100" s="82">
        <f t="shared" si="215"/>
        <v>0</v>
      </c>
      <c r="K100" s="82">
        <f t="shared" si="216"/>
        <v>0</v>
      </c>
      <c r="L100" s="82">
        <f t="shared" si="217"/>
        <v>0</v>
      </c>
      <c r="M100" s="161">
        <f t="shared" si="218"/>
        <v>0</v>
      </c>
      <c r="N100" s="82">
        <f t="shared" si="219"/>
        <v>0</v>
      </c>
      <c r="O100" s="82">
        <f t="shared" si="220"/>
        <v>0</v>
      </c>
      <c r="P100" s="262">
        <f t="shared" si="221"/>
        <v>0</v>
      </c>
      <c r="Q100" s="76">
        <f>VLOOKUP($D100,Engines_all!$A$3:'Engines_all'!$V$843,11,FALSE)</f>
        <v>24.48</v>
      </c>
      <c r="R100" s="78">
        <f>VLOOKUP($D100,Engines_all!$A$3:'Engines_all'!$V$843,12,FALSE)</f>
        <v>0.16317000000000001</v>
      </c>
      <c r="S100" s="78">
        <f>VLOOKUP($D100,Engines_all!$A$3:'Engines_all'!$V$843,13,FALSE)</f>
        <v>0</v>
      </c>
      <c r="T100" s="78">
        <f>VLOOKUP($D100,Engines_all!$A$3:'Engines_all'!$V$843,14,FALSE)</f>
        <v>7.7618999999999994E-2</v>
      </c>
      <c r="U100" s="78">
        <f>VLOOKUP($D100,Engines_all!$A$3:'Engines_all'!$V$843,15,FALSE)</f>
        <v>8.5982208000000004E-3</v>
      </c>
      <c r="V100" s="222">
        <f>VLOOKUP($D100,Engines_all!$A$3:'Engines_all'!$V$843,16,FALSE)</f>
        <v>1.9476289016944096E+17</v>
      </c>
      <c r="W100" s="77">
        <f t="shared" si="222"/>
        <v>1.2240000000000001E-2</v>
      </c>
      <c r="X100" s="78">
        <f>IF(E100="K",Q100*'Rest Calc'!B$16,Q100*'Rest Calc'!B$17)</f>
        <v>77.356800000000007</v>
      </c>
      <c r="Y100" s="76">
        <f>VLOOKUP($D100,Engines_all!$A$3:'Engines_all'!$V$843,17,FALSE)</f>
        <v>864.14284533452997</v>
      </c>
      <c r="Z100" s="76">
        <f>VLOOKUP($D100,Engines_all!$A$3:'Engines_all'!$V$843,18,FALSE)</f>
        <v>2.0365714285714311</v>
      </c>
      <c r="AA100" s="76">
        <f>VLOOKUP($D100,Engines_all!$A$3:'Engines_all'!$V$843,19,FALSE)</f>
        <v>8.3603743714233048</v>
      </c>
      <c r="AB100" s="76">
        <f>VLOOKUP($D100,Engines_all!$A$3:'Engines_all'!$V$843,20,FALSE)</f>
        <v>49.313851413537023</v>
      </c>
      <c r="AC100" s="76">
        <f>VLOOKUP($D100,Engines_all!$A$3:'Engines_all'!$V$843,21,FALSE)</f>
        <v>0.24814144147147399</v>
      </c>
      <c r="AD100" s="222">
        <f>VLOOKUP($D100,Engines_all!$A$3:'Engines_all'!$V$843,22,FALSE)</f>
        <v>8741228908483196</v>
      </c>
      <c r="AE100" s="80">
        <f t="shared" si="223"/>
        <v>0.432071422667265</v>
      </c>
      <c r="AF100" s="79">
        <f>IF(E100="K",Y100*'Rest Calc'!B$16,Y100*'Rest Calc'!B$17)</f>
        <v>2730.6913912571149</v>
      </c>
      <c r="AG100" s="79">
        <f>IF(ALECA_Input!D$121="Standard",VLOOKUP($B100,$A$211:$J$218,6,FALSE),VLOOKUP($B100,$A$211:$J$218,10,FALSE))</f>
        <v>0</v>
      </c>
      <c r="AH100" s="163">
        <v>180</v>
      </c>
      <c r="AI100" s="75">
        <v>6</v>
      </c>
      <c r="AJ100" s="74"/>
      <c r="AK100" s="74"/>
      <c r="AL100" s="74"/>
    </row>
    <row r="101" spans="1:38" x14ac:dyDescent="0.25">
      <c r="A101" s="74" t="s">
        <v>280</v>
      </c>
      <c r="B101" s="75" t="s">
        <v>386</v>
      </c>
      <c r="C101" s="74" t="s">
        <v>281</v>
      </c>
      <c r="D101" s="74" t="s">
        <v>2925</v>
      </c>
      <c r="E101" s="75" t="s">
        <v>2936</v>
      </c>
      <c r="F101" s="136">
        <v>2</v>
      </c>
      <c r="G101" s="243">
        <f>VLOOKUP(D101,Engines_all!$A$3:$AZ$843,52,FALSE)</f>
        <v>0</v>
      </c>
      <c r="H101" s="74">
        <f>ALECA_Input!G64</f>
        <v>0</v>
      </c>
      <c r="I101" s="82">
        <f t="shared" si="214"/>
        <v>0</v>
      </c>
      <c r="J101" s="82">
        <f t="shared" si="215"/>
        <v>0</v>
      </c>
      <c r="K101" s="82">
        <f t="shared" si="216"/>
        <v>0</v>
      </c>
      <c r="L101" s="82">
        <f t="shared" si="217"/>
        <v>0</v>
      </c>
      <c r="M101" s="161">
        <f t="shared" si="218"/>
        <v>0</v>
      </c>
      <c r="N101" s="82">
        <f t="shared" si="219"/>
        <v>0</v>
      </c>
      <c r="O101" s="82">
        <f t="shared" si="220"/>
        <v>0</v>
      </c>
      <c r="P101" s="262">
        <f t="shared" si="221"/>
        <v>0</v>
      </c>
      <c r="Q101" s="76">
        <f>VLOOKUP($D101,Engines_all!$A$3:'Engines_all'!$V$843,11,FALSE)</f>
        <v>89.91610254389937</v>
      </c>
      <c r="R101" s="78">
        <f>VLOOKUP($D101,Engines_all!$A$3:'Engines_all'!$V$843,12,FALSE)</f>
        <v>1.4472428727488629</v>
      </c>
      <c r="S101" s="78">
        <f>VLOOKUP($D101,Engines_all!$A$3:'Engines_all'!$V$843,13,FALSE)</f>
        <v>8.4434331925155232E-2</v>
      </c>
      <c r="T101" s="78">
        <f>VLOOKUP($D101,Engines_all!$A$3:'Engines_all'!$V$843,14,FALSE)</f>
        <v>0.25194991766615948</v>
      </c>
      <c r="U101" s="78">
        <f>VLOOKUP($D101,Engines_all!$A$3:'Engines_all'!$V$843,15,FALSE)</f>
        <v>5.0215310619777027E-2</v>
      </c>
      <c r="V101" s="222">
        <f>VLOOKUP($D101,Engines_all!$A$3:'Engines_all'!$V$843,16,FALSE)</f>
        <v>1.1643206425302351E+18</v>
      </c>
      <c r="W101" s="77">
        <f t="shared" si="222"/>
        <v>4.4958051271949684E-2</v>
      </c>
      <c r="X101" s="78">
        <f>IF(E101="K",Q101*'Rest Calc'!B$16,Q101*'Rest Calc'!B$17)</f>
        <v>284.13488403872202</v>
      </c>
      <c r="Y101" s="76">
        <f>VLOOKUP($D101,Engines_all!$A$3:'Engines_all'!$V$843,17,FALSE)</f>
        <v>3272.5182963583379</v>
      </c>
      <c r="Z101" s="76">
        <f>VLOOKUP($D101,Engines_all!$A$3:'Engines_all'!$V$843,18,FALSE)</f>
        <v>10.153600000000074</v>
      </c>
      <c r="AA101" s="76">
        <f>VLOOKUP($D101,Engines_all!$A$3:'Engines_all'!$V$843,19,FALSE)</f>
        <v>34.692801487108497</v>
      </c>
      <c r="AB101" s="76">
        <f>VLOOKUP($D101,Engines_all!$A$3:'Engines_all'!$V$843,20,FALSE)</f>
        <v>79.395787174771328</v>
      </c>
      <c r="AC101" s="76">
        <f>VLOOKUP($D101,Engines_all!$A$3:'Engines_all'!$V$843,21,FALSE)</f>
        <v>1.3560325698726654</v>
      </c>
      <c r="AD101" s="222">
        <f>VLOOKUP($D101,Engines_all!$A$3:'Engines_all'!$V$843,22,FALSE)</f>
        <v>5.5635509858820136E+16</v>
      </c>
      <c r="AE101" s="80">
        <f t="shared" si="223"/>
        <v>1.6362591481791691</v>
      </c>
      <c r="AF101" s="79">
        <f>IF(E101="K",Y101*'Rest Calc'!B$16,Y101*'Rest Calc'!B$17)</f>
        <v>10341.157816492349</v>
      </c>
      <c r="AG101" s="79">
        <f>IF(ALECA_Input!D$121="Standard",VLOOKUP($B101,$A$211:$J$218,6,FALSE),VLOOKUP($B101,$A$211:$J$218,10,FALSE))</f>
        <v>0</v>
      </c>
      <c r="AH101" s="163">
        <v>180</v>
      </c>
      <c r="AI101" s="75">
        <v>6</v>
      </c>
      <c r="AJ101" s="74"/>
      <c r="AK101" s="74"/>
      <c r="AL101" s="74"/>
    </row>
    <row r="102" spans="1:38" x14ac:dyDescent="0.25">
      <c r="A102" s="74" t="s">
        <v>282</v>
      </c>
      <c r="B102" s="75" t="s">
        <v>386</v>
      </c>
      <c r="C102" s="74" t="s">
        <v>283</v>
      </c>
      <c r="D102" s="74" t="s">
        <v>283</v>
      </c>
      <c r="E102" s="75" t="s">
        <v>2936</v>
      </c>
      <c r="F102" s="136">
        <v>2</v>
      </c>
      <c r="G102" s="243">
        <f>VLOOKUP(D102,Engines_all!$A$3:$AZ$843,52,FALSE)</f>
        <v>0</v>
      </c>
      <c r="H102" s="74">
        <f>ALECA_Input!G65</f>
        <v>0</v>
      </c>
      <c r="I102" s="82">
        <f t="shared" si="214"/>
        <v>0</v>
      </c>
      <c r="J102" s="82">
        <f t="shared" si="215"/>
        <v>0</v>
      </c>
      <c r="K102" s="82">
        <f t="shared" si="216"/>
        <v>0</v>
      </c>
      <c r="L102" s="82">
        <f t="shared" si="217"/>
        <v>0</v>
      </c>
      <c r="M102" s="161">
        <f t="shared" si="218"/>
        <v>0</v>
      </c>
      <c r="N102" s="82">
        <f t="shared" si="219"/>
        <v>0</v>
      </c>
      <c r="O102" s="82">
        <f t="shared" si="220"/>
        <v>0</v>
      </c>
      <c r="P102" s="262">
        <f t="shared" si="221"/>
        <v>0</v>
      </c>
      <c r="Q102" s="76">
        <f>VLOOKUP($D102,Engines_all!$A$3:'Engines_all'!$V$843,11,FALSE)</f>
        <v>14.984999999999999</v>
      </c>
      <c r="R102" s="78">
        <f>VLOOKUP($D102,Engines_all!$A$3:'Engines_all'!$V$843,12,FALSE)</f>
        <v>9.8608499999999988E-2</v>
      </c>
      <c r="S102" s="78">
        <f>VLOOKUP($D102,Engines_all!$A$3:'Engines_all'!$V$843,13,FALSE)</f>
        <v>1.3230000000000002E-3</v>
      </c>
      <c r="T102" s="78">
        <f>VLOOKUP($D102,Engines_all!$A$3:'Engines_all'!$V$843,14,FALSE)</f>
        <v>3.2691000000000005E-2</v>
      </c>
      <c r="U102" s="78">
        <f>VLOOKUP($D102,Engines_all!$A$3:'Engines_all'!$V$843,15,FALSE)</f>
        <v>5.3823808500000009E-3</v>
      </c>
      <c r="V102" s="222">
        <f>VLOOKUP($D102,Engines_all!$A$3:'Engines_all'!$V$843,16,FALSE)</f>
        <v>2.0417985E+17</v>
      </c>
      <c r="W102" s="77">
        <f t="shared" si="222"/>
        <v>7.4925E-3</v>
      </c>
      <c r="X102" s="78">
        <f>IF(E102="K",Q102*'Rest Calc'!B$16,Q102*'Rest Calc'!B$17)</f>
        <v>47.352600000000002</v>
      </c>
      <c r="Y102" s="76">
        <f>VLOOKUP($D102,Engines_all!$A$3:'Engines_all'!$V$843,17,FALSE)</f>
        <v>756</v>
      </c>
      <c r="Z102" s="76">
        <f>VLOOKUP($D102,Engines_all!$A$3:'Engines_all'!$V$843,18,FALSE)</f>
        <v>1.512</v>
      </c>
      <c r="AA102" s="76">
        <f>VLOOKUP($D102,Engines_all!$A$3:'Engines_all'!$V$843,19,FALSE)</f>
        <v>3.7800000000000002</v>
      </c>
      <c r="AB102" s="76">
        <f>VLOOKUP($D102,Engines_all!$A$3:'Engines_all'!$V$843,20,FALSE)</f>
        <v>51.181200000000004</v>
      </c>
      <c r="AC102" s="76">
        <f>VLOOKUP($D102,Engines_all!$A$3:'Engines_all'!$V$843,21,FALSE)</f>
        <v>0.18394236</v>
      </c>
      <c r="AD102" s="222">
        <f>VLOOKUP($D102,Engines_all!$A$3:'Engines_all'!$V$843,22,FALSE)</f>
        <v>2.01096E+16</v>
      </c>
      <c r="AE102" s="80">
        <f t="shared" si="223"/>
        <v>0.378</v>
      </c>
      <c r="AF102" s="79">
        <f>IF(E102="K",Y102*'Rest Calc'!B$16,Y102*'Rest Calc'!B$17)</f>
        <v>2388.96</v>
      </c>
      <c r="AG102" s="79">
        <f>IF(ALECA_Input!D$121="Standard",VLOOKUP($B102,$A$211:$J$218,6,FALSE),VLOOKUP($B102,$A$211:$J$218,10,FALSE))</f>
        <v>0</v>
      </c>
      <c r="AH102" s="163">
        <v>180</v>
      </c>
      <c r="AI102" s="75">
        <v>6</v>
      </c>
      <c r="AJ102" s="74"/>
      <c r="AK102" s="74"/>
      <c r="AL102" s="74"/>
    </row>
    <row r="103" spans="1:38" x14ac:dyDescent="0.25">
      <c r="A103" s="74" t="s">
        <v>284</v>
      </c>
      <c r="B103" s="75" t="s">
        <v>386</v>
      </c>
      <c r="C103" s="74" t="s">
        <v>285</v>
      </c>
      <c r="D103" s="74" t="s">
        <v>2673</v>
      </c>
      <c r="E103" s="75" t="s">
        <v>2937</v>
      </c>
      <c r="F103" s="136">
        <v>2</v>
      </c>
      <c r="G103" s="243">
        <f>VLOOKUP(D103,Engines_all!$A$3:$AZ$843,52,FALSE)</f>
        <v>0</v>
      </c>
      <c r="H103" s="74">
        <f>ALECA_Input!G66</f>
        <v>0</v>
      </c>
      <c r="I103" s="82">
        <f t="shared" si="214"/>
        <v>0</v>
      </c>
      <c r="J103" s="82">
        <f t="shared" si="215"/>
        <v>0</v>
      </c>
      <c r="K103" s="82">
        <f t="shared" si="216"/>
        <v>0</v>
      </c>
      <c r="L103" s="82">
        <f t="shared" si="217"/>
        <v>0</v>
      </c>
      <c r="M103" s="161">
        <f t="shared" si="218"/>
        <v>0</v>
      </c>
      <c r="N103" s="82">
        <f t="shared" si="219"/>
        <v>0</v>
      </c>
      <c r="O103" s="82">
        <f t="shared" si="220"/>
        <v>0</v>
      </c>
      <c r="P103" s="262">
        <f t="shared" si="221"/>
        <v>0</v>
      </c>
      <c r="Q103" s="76">
        <f>VLOOKUP($D103,Engines_all!$A$3:'Engines_all'!$V$843,11,FALSE)</f>
        <v>2.5451999999999999</v>
      </c>
      <c r="R103" s="78">
        <f>VLOOKUP($D103,Engines_all!$A$3:'Engines_all'!$V$843,12,FALSE)</f>
        <v>6.1422551999999998E-2</v>
      </c>
      <c r="S103" s="78">
        <f>VLOOKUP($D103,Engines_all!$A$3:'Engines_all'!$V$843,13,FALSE)</f>
        <v>4.99446E-3</v>
      </c>
      <c r="T103" s="78">
        <f>VLOOKUP($D103,Engines_all!$A$3:'Engines_all'!$V$843,14,FALSE)</f>
        <v>2.5493651999999999E-2</v>
      </c>
      <c r="U103" s="78">
        <f>VLOOKUP($D103,Engines_all!$A$3:'Engines_all'!$V$843,15,FALSE)</f>
        <v>6.4202164200000003E-4</v>
      </c>
      <c r="V103" s="222">
        <f>VLOOKUP($D103,Engines_all!$A$3:'Engines_all'!$V$843,16,FALSE)</f>
        <v>274130812596760.38</v>
      </c>
      <c r="W103" s="77">
        <f t="shared" si="222"/>
        <v>1.2726E-3</v>
      </c>
      <c r="X103" s="78">
        <f>IF(E103="K",Q103*'Rest Calc'!B$16,Q103*'Rest Calc'!B$17)</f>
        <v>7.762859999999999</v>
      </c>
      <c r="Y103" s="76">
        <f>VLOOKUP($D103,Engines_all!$A$3:'Engines_all'!$V$843,17,FALSE)</f>
        <v>18</v>
      </c>
      <c r="Z103" s="76">
        <f>VLOOKUP($D103,Engines_all!$A$3:'Engines_all'!$V$843,18,FALSE)</f>
        <v>0.30437999999999998</v>
      </c>
      <c r="AA103" s="76">
        <f>VLOOKUP($D103,Engines_all!$A$3:'Engines_all'!$V$843,19,FALSE)</f>
        <v>0.17603999999999997</v>
      </c>
      <c r="AB103" s="76">
        <f>VLOOKUP($D103,Engines_all!$A$3:'Engines_all'!$V$843,20,FALSE)</f>
        <v>0.44639999999999996</v>
      </c>
      <c r="AC103" s="76">
        <f>VLOOKUP($D103,Engines_all!$A$3:'Engines_all'!$V$843,21,FALSE)</f>
        <v>3.3174467999999998E-3</v>
      </c>
      <c r="AD103" s="222">
        <f>VLOOKUP($D103,Engines_all!$A$3:'Engines_all'!$V$843,22,FALSE)</f>
        <v>5202166520104.4385</v>
      </c>
      <c r="AE103" s="80">
        <f t="shared" si="223"/>
        <v>9.0000000000000011E-3</v>
      </c>
      <c r="AF103" s="79">
        <f>IF(E103="K",Y103*'Rest Calc'!B$16,Y103*'Rest Calc'!B$17)</f>
        <v>54.9</v>
      </c>
      <c r="AG103" s="79">
        <f>IF(ALECA_Input!D$121="Standard",VLOOKUP($B103,$A$211:$J$218,6,FALSE),VLOOKUP($B103,$A$211:$J$218,10,FALSE))</f>
        <v>0</v>
      </c>
      <c r="AH103" s="163">
        <v>180</v>
      </c>
      <c r="AI103" s="75">
        <v>6</v>
      </c>
      <c r="AJ103" s="74"/>
      <c r="AK103" s="74"/>
      <c r="AL103" s="74"/>
    </row>
    <row r="104" spans="1:38" x14ac:dyDescent="0.25">
      <c r="A104" s="74" t="s">
        <v>286</v>
      </c>
      <c r="B104" s="75" t="s">
        <v>386</v>
      </c>
      <c r="C104" s="74" t="s">
        <v>287</v>
      </c>
      <c r="D104" s="74" t="s">
        <v>225</v>
      </c>
      <c r="E104" s="75" t="s">
        <v>2936</v>
      </c>
      <c r="F104" s="136">
        <v>2</v>
      </c>
      <c r="G104" s="243">
        <f>VLOOKUP(D104,Engines_all!$A$3:$AZ$843,52,FALSE)</f>
        <v>0</v>
      </c>
      <c r="H104" s="74">
        <f>ALECA_Input!G67</f>
        <v>0</v>
      </c>
      <c r="I104" s="82">
        <f t="shared" si="214"/>
        <v>0</v>
      </c>
      <c r="J104" s="82">
        <f t="shared" si="215"/>
        <v>0</v>
      </c>
      <c r="K104" s="82">
        <f t="shared" si="216"/>
        <v>0</v>
      </c>
      <c r="L104" s="82">
        <f t="shared" si="217"/>
        <v>0</v>
      </c>
      <c r="M104" s="161">
        <f t="shared" si="218"/>
        <v>0</v>
      </c>
      <c r="N104" s="82">
        <f t="shared" si="219"/>
        <v>0</v>
      </c>
      <c r="O104" s="82">
        <f t="shared" si="220"/>
        <v>0</v>
      </c>
      <c r="P104" s="262">
        <f t="shared" si="221"/>
        <v>0</v>
      </c>
      <c r="Q104" s="76">
        <f>VLOOKUP($D104,Engines_all!$A$3:'Engines_all'!$V$843,11,FALSE)</f>
        <v>17.960999999999999</v>
      </c>
      <c r="R104" s="78">
        <f>VLOOKUP($D104,Engines_all!$A$3:'Engines_all'!$V$843,12,FALSE)</f>
        <v>0.19738326</v>
      </c>
      <c r="S104" s="78">
        <f>VLOOKUP($D104,Engines_all!$A$3:'Engines_all'!$V$843,13,FALSE)</f>
        <v>6.792359999999999E-3</v>
      </c>
      <c r="T104" s="78">
        <f>VLOOKUP($D104,Engines_all!$A$3:'Engines_all'!$V$843,14,FALSE)</f>
        <v>6.8644800000000006E-2</v>
      </c>
      <c r="U104" s="78">
        <f>VLOOKUP($D104,Engines_all!$A$3:'Engines_all'!$V$843,15,FALSE)</f>
        <v>6.0467837099999998E-3</v>
      </c>
      <c r="V104" s="222">
        <f>VLOOKUP($D104,Engines_all!$A$3:'Engines_all'!$V$843,16,FALSE)</f>
        <v>1.3176402274008154E+17</v>
      </c>
      <c r="W104" s="77">
        <f t="shared" si="222"/>
        <v>8.9804999999999989E-3</v>
      </c>
      <c r="X104" s="78">
        <f>IF(E104="K",Q104*'Rest Calc'!B$16,Q104*'Rest Calc'!B$17)</f>
        <v>56.75676</v>
      </c>
      <c r="Y104" s="76">
        <f>VLOOKUP($D104,Engines_all!$A$3:'Engines_all'!$V$843,17,FALSE)</f>
        <v>846</v>
      </c>
      <c r="Z104" s="76">
        <f>VLOOKUP($D104,Engines_all!$A$3:'Engines_all'!$V$843,18,FALSE)</f>
        <v>2.4195599999999997</v>
      </c>
      <c r="AA104" s="76">
        <f>VLOOKUP($D104,Engines_all!$A$3:'Engines_all'!$V$843,19,FALSE)</f>
        <v>66.927059999999997</v>
      </c>
      <c r="AB104" s="76">
        <f>VLOOKUP($D104,Engines_all!$A$3:'Engines_all'!$V$843,20,FALSE)</f>
        <v>52.028999999999996</v>
      </c>
      <c r="AC104" s="76">
        <f>VLOOKUP($D104,Engines_all!$A$3:'Engines_all'!$V$843,21,FALSE)</f>
        <v>0.60029512019999998</v>
      </c>
      <c r="AD104" s="222">
        <f>VLOOKUP($D104,Engines_all!$A$3:'Engines_all'!$V$843,22,FALSE)</f>
        <v>8270051171582382</v>
      </c>
      <c r="AE104" s="80">
        <f t="shared" si="223"/>
        <v>0.42299999999999999</v>
      </c>
      <c r="AF104" s="79">
        <f>IF(E104="K",Y104*'Rest Calc'!B$16,Y104*'Rest Calc'!B$17)</f>
        <v>2673.36</v>
      </c>
      <c r="AG104" s="79">
        <f>IF(ALECA_Input!D$121="Standard",VLOOKUP($B104,$A$211:$J$218,6,FALSE),VLOOKUP($B104,$A$211:$J$218,10,FALSE))</f>
        <v>0</v>
      </c>
      <c r="AH104" s="163">
        <v>180</v>
      </c>
      <c r="AI104" s="75">
        <v>6</v>
      </c>
      <c r="AJ104" s="74"/>
      <c r="AK104" s="74"/>
      <c r="AL104" s="74"/>
    </row>
    <row r="105" spans="1:38" x14ac:dyDescent="0.25">
      <c r="A105" s="74" t="s">
        <v>463</v>
      </c>
      <c r="B105" s="75" t="s">
        <v>395</v>
      </c>
      <c r="C105" s="74" t="s">
        <v>288</v>
      </c>
      <c r="D105" s="74" t="s">
        <v>670</v>
      </c>
      <c r="E105" s="75" t="s">
        <v>2936</v>
      </c>
      <c r="F105" s="136">
        <v>2</v>
      </c>
      <c r="G105" s="243">
        <f>VLOOKUP(D105,Engines_all!$A$3:$AZ$843,52,FALSE)</f>
        <v>26.91</v>
      </c>
      <c r="H105" s="74">
        <f>ALECA_Input!G68</f>
        <v>0</v>
      </c>
      <c r="I105" s="82">
        <f t="shared" si="214"/>
        <v>0</v>
      </c>
      <c r="J105" s="82">
        <f t="shared" si="215"/>
        <v>0</v>
      </c>
      <c r="K105" s="82">
        <f t="shared" si="216"/>
        <v>0</v>
      </c>
      <c r="L105" s="82">
        <f t="shared" si="217"/>
        <v>0</v>
      </c>
      <c r="M105" s="161">
        <f t="shared" si="218"/>
        <v>0</v>
      </c>
      <c r="N105" s="82">
        <f t="shared" si="219"/>
        <v>0</v>
      </c>
      <c r="O105" s="82">
        <f t="shared" si="220"/>
        <v>0</v>
      </c>
      <c r="P105" s="262">
        <f t="shared" si="221"/>
        <v>0</v>
      </c>
      <c r="Q105" s="76">
        <f>VLOOKUP($D105,Engines_all!$A$3:'Engines_all'!$V$843,11,FALSE)</f>
        <v>71.555400000000006</v>
      </c>
      <c r="R105" s="78">
        <f>VLOOKUP($D105,Engines_all!$A$3:'Engines_all'!$V$843,12,FALSE)</f>
        <v>1.2163292880000001</v>
      </c>
      <c r="S105" s="78">
        <f>VLOOKUP($D105,Engines_all!$A$3:'Engines_all'!$V$843,13,FALSE)</f>
        <v>0</v>
      </c>
      <c r="T105" s="78">
        <f>VLOOKUP($D105,Engines_all!$A$3:'Engines_all'!$V$843,14,FALSE)</f>
        <v>0.28393728600000001</v>
      </c>
      <c r="U105" s="78">
        <f>VLOOKUP($D105,Engines_all!$A$3:'Engines_all'!$V$843,15,FALSE)</f>
        <v>1.1561119274962315E-2</v>
      </c>
      <c r="V105" s="222">
        <f>VLOOKUP($D105,Engines_all!$A$3:'Engines_all'!$V$843,16,FALSE)</f>
        <v>9.52717246745464E+16</v>
      </c>
      <c r="W105" s="77">
        <f t="shared" si="222"/>
        <v>3.5777700000000003E-2</v>
      </c>
      <c r="X105" s="78">
        <f>IF(E105="K",Q105*'Rest Calc'!B$16,Q105*'Rest Calc'!B$17)</f>
        <v>226.11506400000002</v>
      </c>
      <c r="Y105" s="76">
        <f>VLOOKUP($D105,Engines_all!$A$3:'Engines_all'!$V$843,17,FALSE)</f>
        <v>2532</v>
      </c>
      <c r="Z105" s="76">
        <f>VLOOKUP($D105,Engines_all!$A$3:'Engines_all'!$V$843,18,FALSE)</f>
        <v>10.78632</v>
      </c>
      <c r="AA105" s="76">
        <f>VLOOKUP($D105,Engines_all!$A$3:'Engines_all'!$V$843,19,FALSE)</f>
        <v>11.039520000000001</v>
      </c>
      <c r="AB105" s="76">
        <f>VLOOKUP($D105,Engines_all!$A$3:'Engines_all'!$V$843,20,FALSE)</f>
        <v>92.038200000000003</v>
      </c>
      <c r="AC105" s="76">
        <f>VLOOKUP($D105,Engines_all!$A$3:'Engines_all'!$V$843,21,FALSE)</f>
        <v>0.33128549578682298</v>
      </c>
      <c r="AD105" s="222">
        <f>VLOOKUP($D105,Engines_all!$A$3:'Engines_all'!$V$843,22,FALSE)</f>
        <v>7023931536240008</v>
      </c>
      <c r="AE105" s="80">
        <f t="shared" si="223"/>
        <v>1.266</v>
      </c>
      <c r="AF105" s="79">
        <f>IF(E105="K",Y105*'Rest Calc'!B$16,Y105*'Rest Calc'!B$17)</f>
        <v>8001.1200000000008</v>
      </c>
      <c r="AG105" s="79">
        <f>IF(ALECA_Input!D$121="Standard",VLOOKUP($B105,$A$211:$J$218,6,FALSE),VLOOKUP($B105,$A$211:$J$218,10,FALSE))</f>
        <v>0</v>
      </c>
      <c r="AH105" s="163">
        <f>G105/2+80</f>
        <v>93.454999999999998</v>
      </c>
      <c r="AI105" s="75">
        <v>4</v>
      </c>
      <c r="AJ105" s="74"/>
      <c r="AK105" s="74"/>
      <c r="AL105" s="74"/>
    </row>
    <row r="106" spans="1:38" x14ac:dyDescent="0.25">
      <c r="A106" s="74" t="s">
        <v>289</v>
      </c>
      <c r="B106" s="75" t="s">
        <v>386</v>
      </c>
      <c r="C106" s="74" t="s">
        <v>290</v>
      </c>
      <c r="D106" s="74" t="s">
        <v>290</v>
      </c>
      <c r="E106" s="75" t="s">
        <v>2936</v>
      </c>
      <c r="F106" s="136">
        <v>2</v>
      </c>
      <c r="G106" s="243">
        <f>VLOOKUP(D106,Engines_all!$A$3:$AZ$843,52,FALSE)</f>
        <v>0</v>
      </c>
      <c r="H106" s="74">
        <f>ALECA_Input!G69</f>
        <v>0</v>
      </c>
      <c r="I106" s="82">
        <f t="shared" si="214"/>
        <v>0</v>
      </c>
      <c r="J106" s="82">
        <f t="shared" si="215"/>
        <v>0</v>
      </c>
      <c r="K106" s="82">
        <f t="shared" si="216"/>
        <v>0</v>
      </c>
      <c r="L106" s="82">
        <f t="shared" si="217"/>
        <v>0</v>
      </c>
      <c r="M106" s="161">
        <f t="shared" si="218"/>
        <v>0</v>
      </c>
      <c r="N106" s="82">
        <f t="shared" si="219"/>
        <v>0</v>
      </c>
      <c r="O106" s="82">
        <f t="shared" si="220"/>
        <v>0</v>
      </c>
      <c r="P106" s="262">
        <f t="shared" si="221"/>
        <v>0</v>
      </c>
      <c r="Q106" s="76">
        <f>VLOOKUP($D106,Engines_all!$A$3:'Engines_all'!$V$843,11,FALSE)</f>
        <v>44.462999999999994</v>
      </c>
      <c r="R106" s="78">
        <f>VLOOKUP($D106,Engines_all!$A$3:'Engines_all'!$V$843,12,FALSE)</f>
        <v>0.57642389999999999</v>
      </c>
      <c r="S106" s="78">
        <f>VLOOKUP($D106,Engines_all!$A$3:'Engines_all'!$V$843,13,FALSE)</f>
        <v>0</v>
      </c>
      <c r="T106" s="78">
        <f>VLOOKUP($D106,Engines_all!$A$3:'Engines_all'!$V$843,14,FALSE)</f>
        <v>0.12146430000000001</v>
      </c>
      <c r="U106" s="78">
        <f>VLOOKUP($D106,Engines_all!$A$3:'Engines_all'!$V$843,15,FALSE)</f>
        <v>1.985934978E-2</v>
      </c>
      <c r="V106" s="222">
        <f>VLOOKUP($D106,Engines_all!$A$3:'Engines_all'!$V$843,16,FALSE)</f>
        <v>4.7710527181008115E+17</v>
      </c>
      <c r="W106" s="77">
        <f t="shared" si="222"/>
        <v>2.2231499999999998E-2</v>
      </c>
      <c r="X106" s="78">
        <f>IF(E106="K",Q106*'Rest Calc'!B$16,Q106*'Rest Calc'!B$17)</f>
        <v>140.50307999999998</v>
      </c>
      <c r="Y106" s="76">
        <f>VLOOKUP($D106,Engines_all!$A$3:'Engines_all'!$V$843,17,FALSE)</f>
        <v>2128.9337371423439</v>
      </c>
      <c r="Z106" s="76">
        <f>VLOOKUP($D106,Engines_all!$A$3:'Engines_all'!$V$843,18,FALSE)</f>
        <v>10.452857142857178</v>
      </c>
      <c r="AA106" s="76">
        <f>VLOOKUP($D106,Engines_all!$A$3:'Engines_all'!$V$843,19,FALSE)</f>
        <v>0</v>
      </c>
      <c r="AB106" s="76">
        <f>VLOOKUP($D106,Engines_all!$A$3:'Engines_all'!$V$843,20,FALSE)</f>
        <v>40.88776138789968</v>
      </c>
      <c r="AC106" s="76">
        <f>VLOOKUP($D106,Engines_all!$A$3:'Engines_all'!$V$843,21,FALSE)</f>
        <v>0.52256807511895975</v>
      </c>
      <c r="AD106" s="222">
        <f>VLOOKUP($D106,Engines_all!$A$3:'Engines_all'!$V$843,22,FALSE)</f>
        <v>2.3706827156612848E+16</v>
      </c>
      <c r="AE106" s="80">
        <f t="shared" si="223"/>
        <v>1.064466868571172</v>
      </c>
      <c r="AF106" s="79">
        <f>IF(E106="K",Y106*'Rest Calc'!B$16,Y106*'Rest Calc'!B$17)</f>
        <v>6727.4306093698069</v>
      </c>
      <c r="AG106" s="79">
        <f>IF(ALECA_Input!D$121="Standard",VLOOKUP($B106,$A$211:$J$218,6,FALSE),VLOOKUP($B106,$A$211:$J$218,10,FALSE))</f>
        <v>0</v>
      </c>
      <c r="AH106" s="163">
        <v>180</v>
      </c>
      <c r="AI106" s="75">
        <v>6</v>
      </c>
      <c r="AJ106" s="74"/>
      <c r="AK106" s="74"/>
      <c r="AL106" s="74"/>
    </row>
    <row r="107" spans="1:38" x14ac:dyDescent="0.25">
      <c r="A107" s="74" t="s">
        <v>291</v>
      </c>
      <c r="B107" s="75" t="s">
        <v>396</v>
      </c>
      <c r="C107" s="81" t="s">
        <v>292</v>
      </c>
      <c r="D107" s="74" t="s">
        <v>672</v>
      </c>
      <c r="E107" s="75" t="s">
        <v>2936</v>
      </c>
      <c r="F107" s="136">
        <v>2</v>
      </c>
      <c r="G107" s="243">
        <f>VLOOKUP(D107,Engines_all!$A$3:$AZ$843,52,FALSE)</f>
        <v>9.7900000000000009</v>
      </c>
      <c r="H107" s="74">
        <f>ALECA_Input!G70</f>
        <v>0</v>
      </c>
      <c r="I107" s="82">
        <f t="shared" si="214"/>
        <v>0</v>
      </c>
      <c r="J107" s="82">
        <f t="shared" si="215"/>
        <v>0</v>
      </c>
      <c r="K107" s="82">
        <f t="shared" si="216"/>
        <v>0</v>
      </c>
      <c r="L107" s="82">
        <f t="shared" si="217"/>
        <v>0</v>
      </c>
      <c r="M107" s="161">
        <f t="shared" si="218"/>
        <v>0</v>
      </c>
      <c r="N107" s="82">
        <f t="shared" si="219"/>
        <v>0</v>
      </c>
      <c r="O107" s="82">
        <f t="shared" si="220"/>
        <v>0</v>
      </c>
      <c r="P107" s="262">
        <f t="shared" si="221"/>
        <v>0</v>
      </c>
      <c r="Q107" s="76">
        <f>VLOOKUP($D107,Engines_all!$A$3:'Engines_all'!$V$843,11,FALSE)</f>
        <v>12.168000000000001</v>
      </c>
      <c r="R107" s="78">
        <f>VLOOKUP($D107,Engines_all!$A$3:'Engines_all'!$V$843,12,FALSE)</f>
        <v>6.9021840000000001E-2</v>
      </c>
      <c r="S107" s="78">
        <f>VLOOKUP($D107,Engines_all!$A$3:'Engines_all'!$V$843,13,FALSE)</f>
        <v>2.1762000000000004E-2</v>
      </c>
      <c r="T107" s="78">
        <f>VLOOKUP($D107,Engines_all!$A$3:'Engines_all'!$V$843,14,FALSE)</f>
        <v>0.22072080000000005</v>
      </c>
      <c r="U107" s="78">
        <f>VLOOKUP($D107,Engines_all!$A$3:'Engines_all'!$V$843,15,FALSE)</f>
        <v>2.6722709037898117E-3</v>
      </c>
      <c r="V107" s="222">
        <f>VLOOKUP($D107,Engines_all!$A$3:'Engines_all'!$V$843,16,FALSE)</f>
        <v>2.1508272359637288E+16</v>
      </c>
      <c r="W107" s="77">
        <f t="shared" si="222"/>
        <v>6.0840000000000009E-3</v>
      </c>
      <c r="X107" s="78">
        <f>IF(E107="K",Q107*'Rest Calc'!B$16,Q107*'Rest Calc'!B$17)</f>
        <v>38.450880000000005</v>
      </c>
      <c r="Y107" s="76">
        <f>VLOOKUP($D107,Engines_all!$A$3:'Engines_all'!$V$843,17,FALSE)</f>
        <v>1380</v>
      </c>
      <c r="Z107" s="76">
        <f>VLOOKUP($D107,Engines_all!$A$3:'Engines_all'!$V$843,18,FALSE)</f>
        <v>2.415</v>
      </c>
      <c r="AA107" s="76">
        <f>VLOOKUP($D107,Engines_all!$A$3:'Engines_all'!$V$843,19,FALSE)</f>
        <v>69.69</v>
      </c>
      <c r="AB107" s="76">
        <f>VLOOKUP($D107,Engines_all!$A$3:'Engines_all'!$V$843,20,FALSE)</f>
        <v>182.16</v>
      </c>
      <c r="AC107" s="76">
        <f>VLOOKUP($D107,Engines_all!$A$3:'Engines_all'!$V$843,21,FALSE)</f>
        <v>0.61603175980769032</v>
      </c>
      <c r="AD107" s="222">
        <f>VLOOKUP($D107,Engines_all!$A$3:'Engines_all'!$V$843,22,FALSE)</f>
        <v>6714173086656880</v>
      </c>
      <c r="AE107" s="80">
        <f t="shared" si="223"/>
        <v>0.69000000000000006</v>
      </c>
      <c r="AF107" s="79">
        <f>IF(E107="K",Y107*'Rest Calc'!B$16,Y107*'Rest Calc'!B$17)</f>
        <v>4360.8</v>
      </c>
      <c r="AG107" s="79">
        <f>IF(ALECA_Input!D$121="Standard",VLOOKUP($B107,$A$211:$J$218,6,FALSE),VLOOKUP($B107,$A$211:$J$218,10,FALSE))</f>
        <v>0</v>
      </c>
      <c r="AH107" s="163">
        <f>G107/2+80</f>
        <v>84.894999999999996</v>
      </c>
      <c r="AI107" s="75">
        <v>5</v>
      </c>
      <c r="AJ107" s="74"/>
      <c r="AK107" s="74"/>
      <c r="AL107" s="74"/>
    </row>
    <row r="108" spans="1:38" x14ac:dyDescent="0.25">
      <c r="A108" s="74" t="s">
        <v>293</v>
      </c>
      <c r="B108" s="75" t="s">
        <v>386</v>
      </c>
      <c r="C108" s="74" t="s">
        <v>294</v>
      </c>
      <c r="D108" s="74" t="s">
        <v>294</v>
      </c>
      <c r="E108" s="75" t="s">
        <v>2936</v>
      </c>
      <c r="F108" s="136">
        <v>2</v>
      </c>
      <c r="G108" s="243">
        <f>VLOOKUP(D108,Engines_all!$A$3:$AZ$843,52,FALSE)</f>
        <v>0</v>
      </c>
      <c r="H108" s="74">
        <f>ALECA_Input!G71</f>
        <v>0</v>
      </c>
      <c r="I108" s="82">
        <f t="shared" si="214"/>
        <v>0</v>
      </c>
      <c r="J108" s="82">
        <f t="shared" si="215"/>
        <v>0</v>
      </c>
      <c r="K108" s="82">
        <f t="shared" si="216"/>
        <v>0</v>
      </c>
      <c r="L108" s="82">
        <f t="shared" si="217"/>
        <v>0</v>
      </c>
      <c r="M108" s="161">
        <f t="shared" si="218"/>
        <v>0</v>
      </c>
      <c r="N108" s="82">
        <f t="shared" si="219"/>
        <v>0</v>
      </c>
      <c r="O108" s="82">
        <f t="shared" si="220"/>
        <v>0</v>
      </c>
      <c r="P108" s="262">
        <f t="shared" si="221"/>
        <v>0</v>
      </c>
      <c r="Q108" s="76">
        <f>VLOOKUP($D108,Engines_all!$A$3:'Engines_all'!$V$843,11,FALSE)</f>
        <v>37.194000000000003</v>
      </c>
      <c r="R108" s="78">
        <f>VLOOKUP($D108,Engines_all!$A$3:'Engines_all'!$V$843,12,FALSE)</f>
        <v>0.41409420000000013</v>
      </c>
      <c r="S108" s="78">
        <f>VLOOKUP($D108,Engines_all!$A$3:'Engines_all'!$V$843,13,FALSE)</f>
        <v>0</v>
      </c>
      <c r="T108" s="78">
        <f>VLOOKUP($D108,Engines_all!$A$3:'Engines_all'!$V$843,14,FALSE)</f>
        <v>0.12457560000000001</v>
      </c>
      <c r="U108" s="78">
        <f>VLOOKUP($D108,Engines_all!$A$3:'Engines_all'!$V$843,15,FALSE)</f>
        <v>1.5544820640000002E-2</v>
      </c>
      <c r="V108" s="222">
        <f>VLOOKUP($D108,Engines_all!$A$3:'Engines_all'!$V$843,16,FALSE)</f>
        <v>3.6894239255332403E+17</v>
      </c>
      <c r="W108" s="77">
        <f t="shared" si="222"/>
        <v>1.8597000000000002E-2</v>
      </c>
      <c r="X108" s="78">
        <f>IF(E108="K",Q108*'Rest Calc'!B$16,Q108*'Rest Calc'!B$17)</f>
        <v>117.53304000000001</v>
      </c>
      <c r="Y108" s="76">
        <f>VLOOKUP($D108,Engines_all!$A$3:'Engines_all'!$V$843,17,FALSE)</f>
        <v>1602.5921858931299</v>
      </c>
      <c r="Z108" s="76">
        <f>VLOOKUP($D108,Engines_all!$A$3:'Engines_all'!$V$843,18,FALSE)</f>
        <v>6.8194285714285936</v>
      </c>
      <c r="AA108" s="76">
        <f>VLOOKUP($D108,Engines_all!$A$3:'Engines_all'!$V$843,19,FALSE)</f>
        <v>0</v>
      </c>
      <c r="AB108" s="76">
        <f>VLOOKUP($D108,Engines_all!$A$3:'Engines_all'!$V$843,20,FALSE)</f>
        <v>49.116016754266205</v>
      </c>
      <c r="AC108" s="76">
        <f>VLOOKUP($D108,Engines_all!$A$3:'Engines_all'!$V$843,21,FALSE)</f>
        <v>0.38375672483396894</v>
      </c>
      <c r="AD108" s="222">
        <f>VLOOKUP($D108,Engines_all!$A$3:'Engines_all'!$V$843,22,FALSE)</f>
        <v>1.730082189159533E+16</v>
      </c>
      <c r="AE108" s="80">
        <f t="shared" si="223"/>
        <v>0.80129609294656501</v>
      </c>
      <c r="AF108" s="79">
        <f>IF(E108="K",Y108*'Rest Calc'!B$16,Y108*'Rest Calc'!B$17)</f>
        <v>5064.1913074222912</v>
      </c>
      <c r="AG108" s="79">
        <f>IF(ALECA_Input!D$121="Standard",VLOOKUP($B108,$A$211:$J$218,6,FALSE),VLOOKUP($B108,$A$211:$J$218,10,FALSE))</f>
        <v>0</v>
      </c>
      <c r="AH108" s="163">
        <v>180</v>
      </c>
      <c r="AI108" s="75">
        <v>6</v>
      </c>
      <c r="AJ108" s="74"/>
      <c r="AK108" s="74"/>
      <c r="AL108" s="74"/>
    </row>
    <row r="109" spans="1:38" x14ac:dyDescent="0.25">
      <c r="A109" s="74" t="s">
        <v>464</v>
      </c>
      <c r="B109" s="75" t="s">
        <v>395</v>
      </c>
      <c r="C109" s="74" t="s">
        <v>295</v>
      </c>
      <c r="D109" s="74" t="s">
        <v>676</v>
      </c>
      <c r="E109" s="75" t="s">
        <v>2936</v>
      </c>
      <c r="F109" s="136">
        <v>2</v>
      </c>
      <c r="G109" s="243">
        <f>VLOOKUP(D109,Engines_all!$A$3:$AZ$843,52,FALSE)</f>
        <v>33.729999999999997</v>
      </c>
      <c r="H109" s="74">
        <f>ALECA_Input!G72</f>
        <v>0</v>
      </c>
      <c r="I109" s="82">
        <f t="shared" si="214"/>
        <v>0</v>
      </c>
      <c r="J109" s="82">
        <f t="shared" si="215"/>
        <v>0</v>
      </c>
      <c r="K109" s="82">
        <f t="shared" si="216"/>
        <v>0</v>
      </c>
      <c r="L109" s="82">
        <f t="shared" si="217"/>
        <v>0</v>
      </c>
      <c r="M109" s="161">
        <f t="shared" si="218"/>
        <v>0</v>
      </c>
      <c r="N109" s="82">
        <f t="shared" si="219"/>
        <v>0</v>
      </c>
      <c r="O109" s="82">
        <f t="shared" si="220"/>
        <v>0</v>
      </c>
      <c r="P109" s="262">
        <f t="shared" si="221"/>
        <v>0</v>
      </c>
      <c r="Q109" s="76">
        <f>VLOOKUP($D109,Engines_all!$A$3:'Engines_all'!$V$843,11,FALSE)</f>
        <v>85.494</v>
      </c>
      <c r="R109" s="78">
        <f>VLOOKUP($D109,Engines_all!$A$3:'Engines_all'!$V$843,12,FALSE)</f>
        <v>1.2703761599999999</v>
      </c>
      <c r="S109" s="78">
        <f>VLOOKUP($D109,Engines_all!$A$3:'Engines_all'!$V$843,13,FALSE)</f>
        <v>3.3987900000000001E-2</v>
      </c>
      <c r="T109" s="78">
        <f>VLOOKUP($D109,Engines_all!$A$3:'Engines_all'!$V$843,14,FALSE)</f>
        <v>0.14223150000000001</v>
      </c>
      <c r="U109" s="78">
        <f>VLOOKUP($D109,Engines_all!$A$3:'Engines_all'!$V$843,15,FALSE)</f>
        <v>7.7691684778861967E-3</v>
      </c>
      <c r="V109" s="222">
        <f>VLOOKUP($D109,Engines_all!$A$3:'Engines_all'!$V$843,16,FALSE)</f>
        <v>2.7037859360876444E+16</v>
      </c>
      <c r="W109" s="77">
        <f t="shared" si="222"/>
        <v>4.2747E-2</v>
      </c>
      <c r="X109" s="78">
        <f>IF(E109="K",Q109*'Rest Calc'!B$16,Q109*'Rest Calc'!B$17)</f>
        <v>270.16104000000001</v>
      </c>
      <c r="Y109" s="76">
        <f>VLOOKUP($D109,Engines_all!$A$3:'Engines_all'!$V$843,17,FALSE)</f>
        <v>2940</v>
      </c>
      <c r="Z109" s="76">
        <f>VLOOKUP($D109,Engines_all!$A$3:'Engines_all'!$V$843,18,FALSE)</f>
        <v>11.260199999999999</v>
      </c>
      <c r="AA109" s="76">
        <f>VLOOKUP($D109,Engines_all!$A$3:'Engines_all'!$V$843,19,FALSE)</f>
        <v>7.3793999999999995</v>
      </c>
      <c r="AB109" s="76">
        <f>VLOOKUP($D109,Engines_all!$A$3:'Engines_all'!$V$843,20,FALSE)</f>
        <v>51.009</v>
      </c>
      <c r="AC109" s="76">
        <f>VLOOKUP($D109,Engines_all!$A$3:'Engines_all'!$V$843,21,FALSE)</f>
        <v>0.24839748343475435</v>
      </c>
      <c r="AD109" s="222">
        <f>VLOOKUP($D109,Engines_all!$A$3:'Engines_all'!$V$843,22,FALSE)</f>
        <v>2973166412713768</v>
      </c>
      <c r="AE109" s="80">
        <f t="shared" si="223"/>
        <v>1.47</v>
      </c>
      <c r="AF109" s="79">
        <f>IF(E109="K",Y109*'Rest Calc'!B$16,Y109*'Rest Calc'!B$17)</f>
        <v>9290.4</v>
      </c>
      <c r="AG109" s="79">
        <f>IF(ALECA_Input!D$121="Standard",VLOOKUP($B109,$A$211:$J$218,6,FALSE),VLOOKUP($B109,$A$211:$J$218,10,FALSE))</f>
        <v>0</v>
      </c>
      <c r="AH109" s="163">
        <f>G109/2+80</f>
        <v>96.864999999999995</v>
      </c>
      <c r="AI109" s="75">
        <v>4</v>
      </c>
      <c r="AJ109" s="74"/>
      <c r="AK109" s="74"/>
      <c r="AL109" s="74"/>
    </row>
    <row r="110" spans="1:38" x14ac:dyDescent="0.25">
      <c r="A110" s="397" t="s">
        <v>465</v>
      </c>
      <c r="B110" s="75" t="s">
        <v>395</v>
      </c>
      <c r="C110" s="74" t="s">
        <v>1321</v>
      </c>
      <c r="D110" s="74" t="s">
        <v>1320</v>
      </c>
      <c r="E110" s="75" t="s">
        <v>2936</v>
      </c>
      <c r="F110" s="136">
        <v>2</v>
      </c>
      <c r="G110" s="243">
        <f>VLOOKUP(D110,Engines_all!$A$3:$AZ$843,52,FALSE)</f>
        <v>59.68</v>
      </c>
      <c r="H110" s="74">
        <f>ALECA_Input!G73</f>
        <v>0</v>
      </c>
      <c r="I110" s="82">
        <f t="shared" si="214"/>
        <v>0</v>
      </c>
      <c r="J110" s="82">
        <f t="shared" si="215"/>
        <v>0</v>
      </c>
      <c r="K110" s="82">
        <f t="shared" si="216"/>
        <v>0</v>
      </c>
      <c r="L110" s="82">
        <f t="shared" si="217"/>
        <v>0</v>
      </c>
      <c r="M110" s="161">
        <f t="shared" si="218"/>
        <v>0</v>
      </c>
      <c r="N110" s="82">
        <f t="shared" si="219"/>
        <v>0</v>
      </c>
      <c r="O110" s="82">
        <f t="shared" si="220"/>
        <v>0</v>
      </c>
      <c r="P110" s="262">
        <f t="shared" si="221"/>
        <v>0</v>
      </c>
      <c r="Q110" s="76">
        <f>VLOOKUP($D110,Engines_all!$A$3:'Engines_all'!$V$843,11,FALSE)</f>
        <v>140.87879999999998</v>
      </c>
      <c r="R110" s="78">
        <f>VLOOKUP($D110,Engines_all!$A$3:'Engines_all'!$V$843,12,FALSE)</f>
        <v>1.7589370919999998</v>
      </c>
      <c r="S110" s="78">
        <f>VLOOKUP($D110,Engines_all!$A$3:'Engines_all'!$V$843,13,FALSE)</f>
        <v>4.545576E-3</v>
      </c>
      <c r="T110" s="78">
        <f>VLOOKUP($D110,Engines_all!$A$3:'Engines_all'!$V$843,14,FALSE)</f>
        <v>0.24032920799999999</v>
      </c>
      <c r="U110" s="78">
        <f>VLOOKUP($D110,Engines_all!$A$3:'Engines_all'!$V$843,15,FALSE)</f>
        <v>9.6623708734296394E-3</v>
      </c>
      <c r="V110" s="222">
        <f>VLOOKUP($D110,Engines_all!$A$3:'Engines_all'!$V$843,16,FALSE)</f>
        <v>2.0508189759125032E+16</v>
      </c>
      <c r="W110" s="77">
        <f t="shared" si="222"/>
        <v>7.0439399999999999E-2</v>
      </c>
      <c r="X110" s="78">
        <f>IF(E110="K",Q110*'Rest Calc'!B$16,Q110*'Rest Calc'!B$17)</f>
        <v>445.17700799999994</v>
      </c>
      <c r="Y110" s="76">
        <f>VLOOKUP($D110,Engines_all!$A$3:'Engines_all'!$V$843,17,FALSE)</f>
        <v>3864</v>
      </c>
      <c r="Z110" s="76">
        <f>VLOOKUP($D110,Engines_all!$A$3:'Engines_all'!$V$843,18,FALSE)</f>
        <v>17.813040000000001</v>
      </c>
      <c r="AA110" s="76">
        <f>VLOOKUP($D110,Engines_all!$A$3:'Engines_all'!$V$843,19,FALSE)</f>
        <v>0.50231999999999999</v>
      </c>
      <c r="AB110" s="76">
        <f>VLOOKUP($D110,Engines_all!$A$3:'Engines_all'!$V$843,20,FALSE)</f>
        <v>70.170239999999993</v>
      </c>
      <c r="AC110" s="76">
        <f>VLOOKUP($D110,Engines_all!$A$3:'Engines_all'!$V$843,21,FALSE)</f>
        <v>0.20533875315445774</v>
      </c>
      <c r="AD110" s="222">
        <f>VLOOKUP($D110,Engines_all!$A$3:'Engines_all'!$V$843,22,FALSE)</f>
        <v>658873822821031</v>
      </c>
      <c r="AE110" s="80">
        <f t="shared" si="223"/>
        <v>1.9319999999999999</v>
      </c>
      <c r="AF110" s="79">
        <f>IF(E110="K",Y110*'Rest Calc'!B$16,Y110*'Rest Calc'!B$17)</f>
        <v>12210.24</v>
      </c>
      <c r="AG110" s="79">
        <f>IF(ALECA_Input!D$121="Standard",VLOOKUP($B110,$A$211:$J$218,6,FALSE),VLOOKUP($B110,$A$211:$J$218,10,FALSE))</f>
        <v>0</v>
      </c>
      <c r="AH110" s="163">
        <f>G110/2+80</f>
        <v>109.84</v>
      </c>
      <c r="AI110" s="75">
        <v>4</v>
      </c>
      <c r="AJ110" s="74"/>
      <c r="AK110" s="74"/>
      <c r="AL110" s="74"/>
    </row>
    <row r="111" spans="1:38" x14ac:dyDescent="0.25">
      <c r="A111" s="397" t="s">
        <v>466</v>
      </c>
      <c r="B111" s="84" t="s">
        <v>395</v>
      </c>
      <c r="C111" s="74" t="s">
        <v>1077</v>
      </c>
      <c r="D111" s="74" t="s">
        <v>1407</v>
      </c>
      <c r="E111" s="75" t="s">
        <v>2936</v>
      </c>
      <c r="F111" s="136">
        <v>2</v>
      </c>
      <c r="G111" s="243">
        <f>VLOOKUP(D111,Engines_all!$A$3:$AZ$843,52,FALSE)</f>
        <v>83.7</v>
      </c>
      <c r="H111" s="74">
        <f>ALECA_Input!G74</f>
        <v>0</v>
      </c>
      <c r="I111" s="82">
        <f t="shared" si="214"/>
        <v>0</v>
      </c>
      <c r="J111" s="82">
        <f t="shared" si="215"/>
        <v>0</v>
      </c>
      <c r="K111" s="82">
        <f t="shared" si="216"/>
        <v>0</v>
      </c>
      <c r="L111" s="82">
        <f t="shared" si="217"/>
        <v>0</v>
      </c>
      <c r="M111" s="161">
        <f t="shared" si="218"/>
        <v>0</v>
      </c>
      <c r="N111" s="82">
        <f t="shared" si="219"/>
        <v>0</v>
      </c>
      <c r="O111" s="82">
        <f t="shared" si="220"/>
        <v>0</v>
      </c>
      <c r="P111" s="262">
        <f t="shared" si="221"/>
        <v>0</v>
      </c>
      <c r="Q111" s="76">
        <f>VLOOKUP($D111,Engines_all!$A$3:'Engines_all'!$V$843,11,FALSE)</f>
        <v>190.18200000000002</v>
      </c>
      <c r="R111" s="78">
        <f>VLOOKUP($D111,Engines_all!$A$3:'Engines_all'!$V$843,12,FALSE)</f>
        <v>2.8290554999999999</v>
      </c>
      <c r="S111" s="78">
        <f>VLOOKUP($D111,Engines_all!$A$3:'Engines_all'!$V$843,13,FALSE)</f>
        <v>8.6314200000000008E-3</v>
      </c>
      <c r="T111" s="78">
        <f>VLOOKUP($D111,Engines_all!$A$3:'Engines_all'!$V$843,14,FALSE)</f>
        <v>0.25343544000000001</v>
      </c>
      <c r="U111" s="78">
        <f>VLOOKUP($D111,Engines_all!$A$3:'Engines_all'!$V$843,15,FALSE)</f>
        <v>1.3661378399256663E-2</v>
      </c>
      <c r="V111" s="222">
        <f>VLOOKUP($D111,Engines_all!$A$3:'Engines_all'!$V$843,16,FALSE)</f>
        <v>3.4244806834128984E+16</v>
      </c>
      <c r="W111" s="77">
        <f t="shared" si="222"/>
        <v>9.5091000000000009E-2</v>
      </c>
      <c r="X111" s="78">
        <f>IF(E111="K",Q111*'Rest Calc'!B$16,Q111*'Rest Calc'!B$17)</f>
        <v>600.97512000000006</v>
      </c>
      <c r="Y111" s="76">
        <f>VLOOKUP($D111,Engines_all!$A$3:'Engines_all'!$V$843,17,FALSE)</f>
        <v>5279.9999999999991</v>
      </c>
      <c r="Z111" s="76">
        <f>VLOOKUP($D111,Engines_all!$A$3:'Engines_all'!$V$843,18,FALSE)</f>
        <v>19.6416</v>
      </c>
      <c r="AA111" s="76">
        <f>VLOOKUP($D111,Engines_all!$A$3:'Engines_all'!$V$843,19,FALSE)</f>
        <v>22.703999999999997</v>
      </c>
      <c r="AB111" s="76">
        <f>VLOOKUP($D111,Engines_all!$A$3:'Engines_all'!$V$843,20,FALSE)</f>
        <v>237.23039999999997</v>
      </c>
      <c r="AC111" s="76">
        <f>VLOOKUP($D111,Engines_all!$A$3:'Engines_all'!$V$843,21,FALSE)</f>
        <v>0.43480727434186556</v>
      </c>
      <c r="AD111" s="222">
        <f>VLOOKUP($D111,Engines_all!$A$3:'Engines_all'!$V$843,22,FALSE)</f>
        <v>1827307571350225</v>
      </c>
      <c r="AE111" s="80">
        <f t="shared" si="223"/>
        <v>2.6399999999999997</v>
      </c>
      <c r="AF111" s="79">
        <f>IF(E111="K",Y111*'Rest Calc'!B$16,Y111*'Rest Calc'!B$17)</f>
        <v>16684.8</v>
      </c>
      <c r="AG111" s="79">
        <f>IF(ALECA_Input!D$121="Standard",VLOOKUP($B111,$A$211:$J$218,6,FALSE),VLOOKUP($B111,$A$211:$J$218,10,FALSE))</f>
        <v>0</v>
      </c>
      <c r="AH111" s="163">
        <f>G111/2+80</f>
        <v>121.85</v>
      </c>
      <c r="AI111" s="75">
        <v>4</v>
      </c>
      <c r="AJ111" s="74"/>
      <c r="AK111" s="74"/>
      <c r="AL111" s="74"/>
    </row>
    <row r="112" spans="1:38" x14ac:dyDescent="0.25">
      <c r="A112" s="397" t="s">
        <v>296</v>
      </c>
      <c r="B112" s="75" t="s">
        <v>386</v>
      </c>
      <c r="C112" s="74" t="s">
        <v>234</v>
      </c>
      <c r="D112" s="74" t="s">
        <v>234</v>
      </c>
      <c r="E112" s="75" t="s">
        <v>2936</v>
      </c>
      <c r="F112" s="136">
        <v>1</v>
      </c>
      <c r="G112" s="243">
        <f>VLOOKUP(D112,Engines_all!$A$3:$AZ$843,52,FALSE)</f>
        <v>0</v>
      </c>
      <c r="H112" s="74">
        <f>ALECA_Input!G75</f>
        <v>0</v>
      </c>
      <c r="I112" s="82">
        <f t="shared" si="214"/>
        <v>0</v>
      </c>
      <c r="J112" s="82">
        <f t="shared" si="215"/>
        <v>0</v>
      </c>
      <c r="K112" s="82">
        <f t="shared" si="216"/>
        <v>0</v>
      </c>
      <c r="L112" s="82">
        <f t="shared" si="217"/>
        <v>0</v>
      </c>
      <c r="M112" s="161">
        <f t="shared" si="218"/>
        <v>0</v>
      </c>
      <c r="N112" s="82">
        <f t="shared" si="219"/>
        <v>0</v>
      </c>
      <c r="O112" s="82">
        <f t="shared" si="220"/>
        <v>0</v>
      </c>
      <c r="P112" s="262">
        <f t="shared" si="221"/>
        <v>0</v>
      </c>
      <c r="Q112" s="76">
        <f>VLOOKUP($D112,Engines_all!$A$3:'Engines_all'!$V$843,11,FALSE)</f>
        <v>24.9</v>
      </c>
      <c r="R112" s="78">
        <f>VLOOKUP($D112,Engines_all!$A$3:'Engines_all'!$V$843,12,FALSE)</f>
        <v>0.13766399999999998</v>
      </c>
      <c r="S112" s="78">
        <f>VLOOKUP($D112,Engines_all!$A$3:'Engines_all'!$V$843,13,FALSE)</f>
        <v>5.1450000000000003E-2</v>
      </c>
      <c r="T112" s="78">
        <f>VLOOKUP($D112,Engines_all!$A$3:'Engines_all'!$V$843,14,FALSE)</f>
        <v>0.35814000000000001</v>
      </c>
      <c r="U112" s="78">
        <f>VLOOKUP($D112,Engines_all!$A$3:'Engines_all'!$V$843,15,FALSE)</f>
        <v>1.1663415E-2</v>
      </c>
      <c r="V112" s="222">
        <f>VLOOKUP($D112,Engines_all!$A$3:'Engines_all'!$V$843,16,FALSE)</f>
        <v>1.9699042688349795E+17</v>
      </c>
      <c r="W112" s="77">
        <f t="shared" si="222"/>
        <v>1.2449999999999999E-2</v>
      </c>
      <c r="X112" s="78">
        <f>IF(E112="K",Q112*'Rest Calc'!B$16,Q112*'Rest Calc'!B$17)</f>
        <v>78.683999999999997</v>
      </c>
      <c r="Y112" s="76">
        <f>VLOOKUP($D112,Engines_all!$A$3:'Engines_all'!$V$843,17,FALSE)</f>
        <v>942.70128581948995</v>
      </c>
      <c r="Z112" s="76">
        <f>VLOOKUP($D112,Engines_all!$A$3:'Engines_all'!$V$843,18,FALSE)</f>
        <v>1.666285714285721</v>
      </c>
      <c r="AA112" s="76">
        <f>VLOOKUP($D112,Engines_all!$A$3:'Engines_all'!$V$843,19,FALSE)</f>
        <v>65.350945876813967</v>
      </c>
      <c r="AB112" s="76">
        <f>VLOOKUP($D112,Engines_all!$A$3:'Engines_all'!$V$843,20,FALSE)</f>
        <v>183.05213275744688</v>
      </c>
      <c r="AC112" s="76">
        <f>VLOOKUP($D112,Engines_all!$A$3:'Engines_all'!$V$843,21,FALSE)</f>
        <v>0.61622811860371385</v>
      </c>
      <c r="AD112" s="222">
        <f>VLOOKUP($D112,Engines_all!$A$3:'Engines_all'!$V$843,22,FALSE)</f>
        <v>9455752585494454</v>
      </c>
      <c r="AE112" s="80">
        <f t="shared" si="223"/>
        <v>0.47135064290974499</v>
      </c>
      <c r="AF112" s="79">
        <f>IF(E112="K",Y112*'Rest Calc'!B$16,Y112*'Rest Calc'!B$17)</f>
        <v>2978.9360631895884</v>
      </c>
      <c r="AG112" s="79">
        <f>IF(ALECA_Input!D$121="Standard",VLOOKUP($B112,$A$211:$J$218,6,FALSE),VLOOKUP($B112,$A$211:$J$218,10,FALSE))</f>
        <v>0</v>
      </c>
      <c r="AH112" s="163">
        <v>180</v>
      </c>
      <c r="AI112" s="75">
        <v>6</v>
      </c>
      <c r="AJ112" s="74"/>
      <c r="AK112" s="74"/>
      <c r="AL112" s="74"/>
    </row>
    <row r="113" spans="1:38" s="81" customFormat="1" x14ac:dyDescent="0.25">
      <c r="A113" s="397" t="s">
        <v>467</v>
      </c>
      <c r="B113" s="75" t="s">
        <v>396</v>
      </c>
      <c r="C113" s="74" t="s">
        <v>297</v>
      </c>
      <c r="D113" s="74" t="s">
        <v>679</v>
      </c>
      <c r="E113" s="75" t="s">
        <v>2936</v>
      </c>
      <c r="F113" s="136">
        <v>2</v>
      </c>
      <c r="G113" s="243">
        <f>VLOOKUP(D113,Engines_all!$A$3:$AZ$843,52,FALSE)</f>
        <v>34.74</v>
      </c>
      <c r="H113" s="74">
        <f>ALECA_Input!G76</f>
        <v>0</v>
      </c>
      <c r="I113" s="82">
        <f t="shared" si="214"/>
        <v>0</v>
      </c>
      <c r="J113" s="82">
        <f t="shared" si="215"/>
        <v>0</v>
      </c>
      <c r="K113" s="82">
        <f t="shared" si="216"/>
        <v>0</v>
      </c>
      <c r="L113" s="82">
        <f t="shared" si="217"/>
        <v>0</v>
      </c>
      <c r="M113" s="161">
        <f t="shared" si="218"/>
        <v>0</v>
      </c>
      <c r="N113" s="82">
        <f t="shared" si="219"/>
        <v>0</v>
      </c>
      <c r="O113" s="82">
        <f t="shared" si="220"/>
        <v>0</v>
      </c>
      <c r="P113" s="262">
        <f t="shared" si="221"/>
        <v>0</v>
      </c>
      <c r="Q113" s="76">
        <f>VLOOKUP($D113,Engines_all!$A$3:'Engines_all'!$V$843,11,FALSE)</f>
        <v>84.760800000000017</v>
      </c>
      <c r="R113" s="78">
        <f>VLOOKUP($D113,Engines_all!$A$3:'Engines_all'!$V$843,12,FALSE)</f>
        <v>1.3381501200000001</v>
      </c>
      <c r="S113" s="78">
        <f>VLOOKUP($D113,Engines_all!$A$3:'Engines_all'!$V$843,13,FALSE)</f>
        <v>5.1345600000000007E-3</v>
      </c>
      <c r="T113" s="78">
        <f>VLOOKUP($D113,Engines_all!$A$3:'Engines_all'!$V$843,14,FALSE)</f>
        <v>4.0806240000000001E-2</v>
      </c>
      <c r="U113" s="78">
        <f>VLOOKUP($D113,Engines_all!$A$3:'Engines_all'!$V$843,15,FALSE)</f>
        <v>5.3315495495776643E-3</v>
      </c>
      <c r="V113" s="222">
        <f>VLOOKUP($D113,Engines_all!$A$3:'Engines_all'!$V$843,16,FALSE)</f>
        <v>2.29827557289548E+16</v>
      </c>
      <c r="W113" s="77">
        <f t="shared" si="222"/>
        <v>4.2380400000000013E-2</v>
      </c>
      <c r="X113" s="78">
        <f>IF(E113="K",Q113*'Rest Calc'!B$16,Q113*'Rest Calc'!B$17)</f>
        <v>267.84412800000007</v>
      </c>
      <c r="Y113" s="76">
        <f>VLOOKUP($D113,Engines_all!$A$3:'Engines_all'!$V$843,17,FALSE)</f>
        <v>2760</v>
      </c>
      <c r="Z113" s="76">
        <f>VLOOKUP($D113,Engines_all!$A$3:'Engines_all'!$V$843,18,FALSE)</f>
        <v>8.8043999999999993</v>
      </c>
      <c r="AA113" s="76">
        <f>VLOOKUP($D113,Engines_all!$A$3:'Engines_all'!$V$843,19,FALSE)</f>
        <v>13.965599999999998</v>
      </c>
      <c r="AB113" s="76">
        <f>VLOOKUP($D113,Engines_all!$A$3:'Engines_all'!$V$843,20,FALSE)</f>
        <v>90.196799999999996</v>
      </c>
      <c r="AC113" s="76">
        <f>VLOOKUP($D113,Engines_all!$A$3:'Engines_all'!$V$843,21,FALSE)</f>
        <v>0.27253566781748967</v>
      </c>
      <c r="AD113" s="222">
        <f>VLOOKUP($D113,Engines_all!$A$3:'Engines_all'!$V$843,22,FALSE)</f>
        <v>2585356734396682</v>
      </c>
      <c r="AE113" s="80">
        <f t="shared" si="223"/>
        <v>1.3800000000000001</v>
      </c>
      <c r="AF113" s="79">
        <f>IF(E113="K",Y113*'Rest Calc'!B$16,Y113*'Rest Calc'!B$17)</f>
        <v>8721.6</v>
      </c>
      <c r="AG113" s="79">
        <f>IF(ALECA_Input!D$121="Standard",VLOOKUP($B113,$A$211:$J$218,6,FALSE),VLOOKUP($B113,$A$211:$J$218,10,FALSE))</f>
        <v>0</v>
      </c>
      <c r="AH113" s="163">
        <f>G113/2+80</f>
        <v>97.37</v>
      </c>
      <c r="AI113" s="75">
        <v>5</v>
      </c>
      <c r="AJ113" s="74"/>
      <c r="AK113" s="74"/>
      <c r="AL113" s="74"/>
    </row>
    <row r="114" spans="1:38" x14ac:dyDescent="0.25">
      <c r="A114" s="397" t="s">
        <v>298</v>
      </c>
      <c r="B114" s="75" t="s">
        <v>384</v>
      </c>
      <c r="C114" s="74" t="s">
        <v>299</v>
      </c>
      <c r="D114" s="74" t="s">
        <v>1001</v>
      </c>
      <c r="E114" s="75" t="s">
        <v>2936</v>
      </c>
      <c r="F114" s="136">
        <v>2</v>
      </c>
      <c r="G114" s="243">
        <f>VLOOKUP(D114,Engines_all!$A$3:$AZ$843,52,FALSE)</f>
        <v>0</v>
      </c>
      <c r="H114" s="74">
        <f>ALECA_Input!G77</f>
        <v>0</v>
      </c>
      <c r="I114" s="82">
        <f t="shared" si="214"/>
        <v>0</v>
      </c>
      <c r="J114" s="82">
        <f t="shared" si="215"/>
        <v>0</v>
      </c>
      <c r="K114" s="82">
        <f t="shared" si="216"/>
        <v>0</v>
      </c>
      <c r="L114" s="82">
        <f t="shared" si="217"/>
        <v>0</v>
      </c>
      <c r="M114" s="161">
        <f t="shared" si="218"/>
        <v>0</v>
      </c>
      <c r="N114" s="82">
        <f t="shared" si="219"/>
        <v>0</v>
      </c>
      <c r="O114" s="82">
        <f t="shared" si="220"/>
        <v>0</v>
      </c>
      <c r="P114" s="262">
        <f t="shared" si="221"/>
        <v>0</v>
      </c>
      <c r="Q114" s="76">
        <f>VLOOKUP($D114,Engines_all!$A$3:'Engines_all'!$V$843,11,FALSE)</f>
        <v>31.529999999999998</v>
      </c>
      <c r="R114" s="78">
        <f>VLOOKUP($D114,Engines_all!$A$3:'Engines_all'!$V$843,12,FALSE)</f>
        <v>0.17838899999999999</v>
      </c>
      <c r="S114" s="78">
        <f>VLOOKUP($D114,Engines_all!$A$3:'Engines_all'!$V$843,13,FALSE)</f>
        <v>1.5419999999999998E-2</v>
      </c>
      <c r="T114" s="78">
        <f>VLOOKUP($D114,Engines_all!$A$3:'Engines_all'!$V$843,14,FALSE)</f>
        <v>0.103977</v>
      </c>
      <c r="U114" s="78">
        <f>VLOOKUP($D114,Engines_all!$A$3:'Engines_all'!$V$843,15,FALSE)</f>
        <v>1.2731677800000001E-2</v>
      </c>
      <c r="V114" s="222">
        <f>VLOOKUP($D114,Engines_all!$A$3:'Engines_all'!$V$843,16,FALSE)</f>
        <v>7.59222E+17</v>
      </c>
      <c r="W114" s="77">
        <f t="shared" si="222"/>
        <v>1.5764999999999998E-2</v>
      </c>
      <c r="X114" s="78">
        <f>IF(E114="K",Q114*'Rest Calc'!B$16,Q114*'Rest Calc'!B$17)</f>
        <v>99.634799999999998</v>
      </c>
      <c r="Y114" s="76">
        <f>VLOOKUP($D114,Engines_all!$A$3:'Engines_all'!$V$843,17,FALSE)</f>
        <v>1559.9999999999998</v>
      </c>
      <c r="Z114" s="76">
        <f>VLOOKUP($D114,Engines_all!$A$3:'Engines_all'!$V$843,18,FALSE)</f>
        <v>3.4319999999999999</v>
      </c>
      <c r="AA114" s="76">
        <f>VLOOKUP($D114,Engines_all!$A$3:'Engines_all'!$V$843,19,FALSE)</f>
        <v>1.5599999999999998</v>
      </c>
      <c r="AB114" s="76">
        <f>VLOOKUP($D114,Engines_all!$A$3:'Engines_all'!$V$843,20,FALSE)</f>
        <v>24.959999999999997</v>
      </c>
      <c r="AC114" s="76">
        <f>VLOOKUP($D114,Engines_all!$A$3:'Engines_all'!$V$843,21,FALSE)</f>
        <v>0.15854279999999998</v>
      </c>
      <c r="AD114" s="222">
        <f>VLOOKUP($D114,Engines_all!$A$3:'Engines_all'!$V$843,22,FALSE)</f>
        <v>3.2213999999999996E+16</v>
      </c>
      <c r="AE114" s="80">
        <f t="shared" si="223"/>
        <v>0.77999999999999992</v>
      </c>
      <c r="AF114" s="79">
        <f>IF(E114="K",Y114*'Rest Calc'!B$16,Y114*'Rest Calc'!B$17)</f>
        <v>4929.5999999999995</v>
      </c>
      <c r="AG114" s="79">
        <f>IF(ALECA_Input!D$121="Standard",VLOOKUP($B114,$A$211:$J$218,6,FALSE),VLOOKUP($B114,$A$211:$J$218,10,FALSE))</f>
        <v>5</v>
      </c>
      <c r="AH114" s="163">
        <f>G114/2+80</f>
        <v>80</v>
      </c>
      <c r="AI114" s="75">
        <v>8</v>
      </c>
      <c r="AJ114" s="74"/>
      <c r="AK114" s="74"/>
      <c r="AL114" s="74"/>
    </row>
    <row r="115" spans="1:38" x14ac:dyDescent="0.25">
      <c r="A115" s="416" t="s">
        <v>300</v>
      </c>
      <c r="B115" s="84" t="s">
        <v>384</v>
      </c>
      <c r="C115" s="81" t="s">
        <v>301</v>
      </c>
      <c r="D115" s="81" t="s">
        <v>878</v>
      </c>
      <c r="E115" s="84" t="s">
        <v>2936</v>
      </c>
      <c r="F115" s="350">
        <v>2</v>
      </c>
      <c r="G115" s="351">
        <f>VLOOKUP(D115,Engines_all!$A$3:$AZ$843,52,FALSE)</f>
        <v>0</v>
      </c>
      <c r="H115" s="74">
        <f>ALECA_Input!G78</f>
        <v>0</v>
      </c>
      <c r="I115" s="352">
        <f t="shared" si="214"/>
        <v>0</v>
      </c>
      <c r="J115" s="352">
        <f t="shared" si="215"/>
        <v>0</v>
      </c>
      <c r="K115" s="352">
        <f t="shared" si="216"/>
        <v>0</v>
      </c>
      <c r="L115" s="352">
        <f t="shared" si="217"/>
        <v>0</v>
      </c>
      <c r="M115" s="353">
        <f t="shared" si="218"/>
        <v>0</v>
      </c>
      <c r="N115" s="352">
        <f t="shared" si="219"/>
        <v>0</v>
      </c>
      <c r="O115" s="352">
        <f t="shared" si="220"/>
        <v>0</v>
      </c>
      <c r="P115" s="354">
        <f t="shared" si="221"/>
        <v>0</v>
      </c>
      <c r="Q115" s="355">
        <f>VLOOKUP($D115,Engines_all!$A$3:'Engines_all'!$V$843,11,FALSE)</f>
        <v>19.466999999999999</v>
      </c>
      <c r="R115" s="356">
        <f>VLOOKUP($D115,Engines_all!$A$3:'Engines_all'!$V$843,12,FALSE)</f>
        <v>0.13351949999999999</v>
      </c>
      <c r="S115" s="356">
        <f>VLOOKUP($D115,Engines_all!$A$3:'Engines_all'!$V$843,13,FALSE)</f>
        <v>0.10789200000000002</v>
      </c>
      <c r="T115" s="356">
        <f>VLOOKUP($D115,Engines_all!$A$3:'Engines_all'!$V$843,14,FALSE)</f>
        <v>0.13421430000000001</v>
      </c>
      <c r="U115" s="356">
        <f>VLOOKUP($D115,Engines_all!$A$3:'Engines_all'!$V$843,15,FALSE)</f>
        <v>1.2822252299999998E-2</v>
      </c>
      <c r="V115" s="357">
        <f>VLOOKUP($D115,Engines_all!$A$3:'Engines_all'!$V$843,16,FALSE)</f>
        <v>8.2767312E+17</v>
      </c>
      <c r="W115" s="358">
        <f t="shared" si="222"/>
        <v>9.7334999999999991E-3</v>
      </c>
      <c r="X115" s="356">
        <f>IF(E115="K",Q115*'Rest Calc'!B$16,Q115*'Rest Calc'!B$17)</f>
        <v>61.515720000000002</v>
      </c>
      <c r="Y115" s="355">
        <f>VLOOKUP($D115,Engines_all!$A$3:'Engines_all'!$V$843,17,FALSE)</f>
        <v>5730</v>
      </c>
      <c r="Z115" s="355">
        <f>VLOOKUP($D115,Engines_all!$A$3:'Engines_all'!$V$843,18,FALSE)</f>
        <v>16.044</v>
      </c>
      <c r="AA115" s="355">
        <f>VLOOKUP($D115,Engines_all!$A$3:'Engines_all'!$V$843,19,FALSE)</f>
        <v>159.6378</v>
      </c>
      <c r="AB115" s="355">
        <f>VLOOKUP($D115,Engines_all!$A$3:'Engines_all'!$V$843,20,FALSE)</f>
        <v>206.28000000000003</v>
      </c>
      <c r="AC115" s="355">
        <f>VLOOKUP($D115,Engines_all!$A$3:'Engines_all'!$V$843,21,FALSE)</f>
        <v>2.3656660260000004</v>
      </c>
      <c r="AD115" s="357">
        <f>VLOOKUP($D115,Engines_all!$A$3:'Engines_all'!$V$843,22,FALSE)</f>
        <v>6.53793E+17</v>
      </c>
      <c r="AE115" s="359">
        <f t="shared" si="223"/>
        <v>2.8650000000000002</v>
      </c>
      <c r="AF115" s="360">
        <f>IF(E115="K",Y115*'Rest Calc'!B$16,Y115*'Rest Calc'!B$17)</f>
        <v>18106.8</v>
      </c>
      <c r="AG115" s="79">
        <f>IF(ALECA_Input!D$121="Standard",VLOOKUP($B115,$A$211:$J$218,6,FALSE),VLOOKUP($B115,$A$211:$J$218,10,FALSE))</f>
        <v>5</v>
      </c>
      <c r="AH115" s="361">
        <v>90</v>
      </c>
      <c r="AI115" s="84">
        <v>8</v>
      </c>
      <c r="AJ115" s="81"/>
      <c r="AK115" s="81"/>
      <c r="AL115" s="81"/>
    </row>
    <row r="116" spans="1:38" x14ac:dyDescent="0.25">
      <c r="A116" s="397" t="s">
        <v>302</v>
      </c>
      <c r="B116" s="75" t="s">
        <v>384</v>
      </c>
      <c r="C116" s="74" t="s">
        <v>303</v>
      </c>
      <c r="D116" s="74" t="s">
        <v>876</v>
      </c>
      <c r="E116" s="75" t="s">
        <v>2936</v>
      </c>
      <c r="F116" s="136">
        <v>2</v>
      </c>
      <c r="G116" s="243">
        <f>VLOOKUP(D116,Engines_all!$A$3:$AZ$843,52,FALSE)</f>
        <v>0</v>
      </c>
      <c r="H116" s="74">
        <f>ALECA_Input!G79</f>
        <v>0</v>
      </c>
      <c r="I116" s="82">
        <f t="shared" si="214"/>
        <v>0</v>
      </c>
      <c r="J116" s="82">
        <f t="shared" si="215"/>
        <v>0</v>
      </c>
      <c r="K116" s="82">
        <f t="shared" si="216"/>
        <v>0</v>
      </c>
      <c r="L116" s="82">
        <f t="shared" si="217"/>
        <v>0</v>
      </c>
      <c r="M116" s="161">
        <f t="shared" si="218"/>
        <v>0</v>
      </c>
      <c r="N116" s="82">
        <f t="shared" si="219"/>
        <v>0</v>
      </c>
      <c r="O116" s="82">
        <f t="shared" si="220"/>
        <v>0</v>
      </c>
      <c r="P116" s="262">
        <f t="shared" si="221"/>
        <v>0</v>
      </c>
      <c r="Q116" s="76">
        <f>VLOOKUP($D116,Engines_all!$A$3:'Engines_all'!$V$843,11,FALSE)</f>
        <v>18.408000000000001</v>
      </c>
      <c r="R116" s="78">
        <f>VLOOKUP($D116,Engines_all!$A$3:'Engines_all'!$V$843,12,FALSE)</f>
        <v>0.11899680000000001</v>
      </c>
      <c r="S116" s="78">
        <f>VLOOKUP($D116,Engines_all!$A$3:'Engines_all'!$V$843,13,FALSE)</f>
        <v>0.11671043999999998</v>
      </c>
      <c r="T116" s="78">
        <f>VLOOKUP($D116,Engines_all!$A$3:'Engines_all'!$V$843,14,FALSE)</f>
        <v>0.14546879999999998</v>
      </c>
      <c r="U116" s="78">
        <f>VLOOKUP($D116,Engines_all!$A$3:'Engines_all'!$V$843,15,FALSE)</f>
        <v>1.2777554280000001E-2</v>
      </c>
      <c r="V116" s="222">
        <f>VLOOKUP($D116,Engines_all!$A$3:'Engines_all'!$V$843,16,FALSE)</f>
        <v>1.00017648E+18</v>
      </c>
      <c r="W116" s="77">
        <f t="shared" si="222"/>
        <v>9.2040000000000004E-3</v>
      </c>
      <c r="X116" s="78">
        <f>IF(E116="K",Q116*'Rest Calc'!B$16,Q116*'Rest Calc'!B$17)</f>
        <v>58.169280000000008</v>
      </c>
      <c r="Y116" s="76">
        <f>VLOOKUP($D116,Engines_all!$A$3:'Engines_all'!$V$843,17,FALSE)</f>
        <v>870</v>
      </c>
      <c r="Z116" s="76">
        <f>VLOOKUP($D116,Engines_all!$A$3:'Engines_all'!$V$843,18,FALSE)</f>
        <v>1.74</v>
      </c>
      <c r="AA116" s="76">
        <f>VLOOKUP($D116,Engines_all!$A$3:'Engines_all'!$V$843,19,FALSE)</f>
        <v>45.231300000000005</v>
      </c>
      <c r="AB116" s="76">
        <f>VLOOKUP($D116,Engines_all!$A$3:'Engines_all'!$V$843,20,FALSE)</f>
        <v>59.508000000000003</v>
      </c>
      <c r="AC116" s="76">
        <f>VLOOKUP($D116,Engines_all!$A$3:'Engines_all'!$V$843,21,FALSE)</f>
        <v>0.475662321</v>
      </c>
      <c r="AD116" s="222">
        <f>VLOOKUP($D116,Engines_all!$A$3:'Engines_all'!$V$843,22,FALSE)</f>
        <v>7.9779E+16</v>
      </c>
      <c r="AE116" s="80">
        <f t="shared" si="223"/>
        <v>0.435</v>
      </c>
      <c r="AF116" s="79">
        <f>IF(E116="K",Y116*'Rest Calc'!B$16,Y116*'Rest Calc'!B$17)</f>
        <v>2749.2000000000003</v>
      </c>
      <c r="AG116" s="79">
        <f>IF(ALECA_Input!D$121="Standard",VLOOKUP($B116,$A$211:$J$218,6,FALSE),VLOOKUP($B116,$A$211:$J$218,10,FALSE))</f>
        <v>5</v>
      </c>
      <c r="AH116" s="163">
        <v>90</v>
      </c>
      <c r="AI116" s="75">
        <v>8</v>
      </c>
      <c r="AJ116" s="74"/>
      <c r="AK116" s="74"/>
      <c r="AL116" s="74"/>
    </row>
    <row r="117" spans="1:38" x14ac:dyDescent="0.25">
      <c r="A117" s="397" t="s">
        <v>304</v>
      </c>
      <c r="B117" s="75" t="s">
        <v>384</v>
      </c>
      <c r="C117" s="74" t="s">
        <v>323</v>
      </c>
      <c r="D117" s="74" t="s">
        <v>935</v>
      </c>
      <c r="E117" s="75" t="s">
        <v>2936</v>
      </c>
      <c r="F117" s="136">
        <v>2</v>
      </c>
      <c r="G117" s="243">
        <f>VLOOKUP(D117,Engines_all!$A$3:$AZ$843,52,FALSE)</f>
        <v>0</v>
      </c>
      <c r="H117" s="74">
        <f>ALECA_Input!G80</f>
        <v>0</v>
      </c>
      <c r="I117" s="82">
        <f t="shared" si="214"/>
        <v>0</v>
      </c>
      <c r="J117" s="82">
        <f t="shared" si="215"/>
        <v>0</v>
      </c>
      <c r="K117" s="82">
        <f t="shared" si="216"/>
        <v>0</v>
      </c>
      <c r="L117" s="82">
        <f t="shared" si="217"/>
        <v>0</v>
      </c>
      <c r="M117" s="161">
        <f t="shared" si="218"/>
        <v>0</v>
      </c>
      <c r="N117" s="82">
        <f t="shared" si="219"/>
        <v>0</v>
      </c>
      <c r="O117" s="82">
        <f t="shared" si="220"/>
        <v>0</v>
      </c>
      <c r="P117" s="262">
        <f t="shared" si="221"/>
        <v>0</v>
      </c>
      <c r="Q117" s="76">
        <f>VLOOKUP($D117,Engines_all!$A$3:'Engines_all'!$V$843,11,FALSE)</f>
        <v>13.266000000000002</v>
      </c>
      <c r="R117" s="78">
        <f>VLOOKUP($D117,Engines_all!$A$3:'Engines_all'!$V$843,12,FALSE)</f>
        <v>6.0944400000000003E-2</v>
      </c>
      <c r="S117" s="78">
        <f>VLOOKUP($D117,Engines_all!$A$3:'Engines_all'!$V$843,13,FALSE)</f>
        <v>0.16372620000000002</v>
      </c>
      <c r="T117" s="78">
        <f>VLOOKUP($D117,Engines_all!$A$3:'Engines_all'!$V$843,14,FALSE)</f>
        <v>0.20720700000000003</v>
      </c>
      <c r="U117" s="78">
        <f>VLOOKUP($D117,Engines_all!$A$3:'Engines_all'!$V$843,15,FALSE)</f>
        <v>1.3381025130000002E-2</v>
      </c>
      <c r="V117" s="222">
        <f>VLOOKUP($D117,Engines_all!$A$3:'Engines_all'!$V$843,16,FALSE)</f>
        <v>6.1236648E+17</v>
      </c>
      <c r="W117" s="77">
        <f t="shared" si="222"/>
        <v>6.6330000000000009E-3</v>
      </c>
      <c r="X117" s="78">
        <f>IF(E117="K",Q117*'Rest Calc'!B$16,Q117*'Rest Calc'!B$17)</f>
        <v>41.920560000000009</v>
      </c>
      <c r="Y117" s="76">
        <f>VLOOKUP($D117,Engines_all!$A$3:'Engines_all'!$V$843,17,FALSE)</f>
        <v>642</v>
      </c>
      <c r="Z117" s="76">
        <f>VLOOKUP($D117,Engines_all!$A$3:'Engines_all'!$V$843,18,FALSE)</f>
        <v>0.89879999999999993</v>
      </c>
      <c r="AA117" s="76">
        <f>VLOOKUP($D117,Engines_all!$A$3:'Engines_all'!$V$843,19,FALSE)</f>
        <v>63.609360000000002</v>
      </c>
      <c r="AB117" s="76">
        <f>VLOOKUP($D117,Engines_all!$A$3:'Engines_all'!$V$843,20,FALSE)</f>
        <v>85.193399999999997</v>
      </c>
      <c r="AC117" s="76">
        <f>VLOOKUP($D117,Engines_all!$A$3:'Engines_all'!$V$843,21,FALSE)</f>
        <v>0.53272107120000001</v>
      </c>
      <c r="AD117" s="222">
        <f>VLOOKUP($D117,Engines_all!$A$3:'Engines_all'!$V$843,22,FALSE)</f>
        <v>5.57256E+16</v>
      </c>
      <c r="AE117" s="80">
        <f t="shared" si="223"/>
        <v>0.32100000000000001</v>
      </c>
      <c r="AF117" s="79">
        <f>IF(E117="K",Y117*'Rest Calc'!B$16,Y117*'Rest Calc'!B$17)</f>
        <v>2028.72</v>
      </c>
      <c r="AG117" s="79">
        <f>IF(ALECA_Input!D$121="Standard",VLOOKUP($B117,$A$211:$J$218,6,FALSE),VLOOKUP($B117,$A$211:$J$218,10,FALSE))</f>
        <v>5</v>
      </c>
      <c r="AH117" s="163">
        <v>90</v>
      </c>
      <c r="AI117" s="75">
        <v>8</v>
      </c>
      <c r="AJ117" s="74"/>
      <c r="AK117" s="74"/>
      <c r="AL117" s="74"/>
    </row>
    <row r="118" spans="1:38" x14ac:dyDescent="0.25">
      <c r="A118" s="397" t="s">
        <v>305</v>
      </c>
      <c r="B118" s="75" t="s">
        <v>384</v>
      </c>
      <c r="C118" s="74" t="s">
        <v>882</v>
      </c>
      <c r="D118" s="74" t="s">
        <v>881</v>
      </c>
      <c r="E118" s="75" t="s">
        <v>2936</v>
      </c>
      <c r="F118" s="136">
        <v>2</v>
      </c>
      <c r="G118" s="243">
        <f>VLOOKUP(D118,Engines_all!$A$3:$AZ$843,52,FALSE)</f>
        <v>0</v>
      </c>
      <c r="H118" s="74">
        <f>ALECA_Input!G81</f>
        <v>0</v>
      </c>
      <c r="I118" s="82">
        <f t="shared" si="214"/>
        <v>0</v>
      </c>
      <c r="J118" s="82">
        <f t="shared" si="215"/>
        <v>0</v>
      </c>
      <c r="K118" s="82">
        <f t="shared" si="216"/>
        <v>0</v>
      </c>
      <c r="L118" s="82">
        <f t="shared" si="217"/>
        <v>0</v>
      </c>
      <c r="M118" s="161">
        <f t="shared" si="218"/>
        <v>0</v>
      </c>
      <c r="N118" s="82">
        <f t="shared" si="219"/>
        <v>0</v>
      </c>
      <c r="O118" s="82">
        <f t="shared" si="220"/>
        <v>0</v>
      </c>
      <c r="P118" s="262">
        <f t="shared" si="221"/>
        <v>0</v>
      </c>
      <c r="Q118" s="76">
        <f>VLOOKUP($D118,Engines_all!$A$3:'Engines_all'!$V$843,11,FALSE)</f>
        <v>18.132000000000001</v>
      </c>
      <c r="R118" s="78">
        <f>VLOOKUP($D118,Engines_all!$A$3:'Engines_all'!$V$843,12,FALSE)</f>
        <v>0.11534640000000002</v>
      </c>
      <c r="S118" s="78">
        <f>VLOOKUP($D118,Engines_all!$A$3:'Engines_all'!$V$843,13,FALSE)</f>
        <v>0.11929644000000002</v>
      </c>
      <c r="T118" s="78">
        <f>VLOOKUP($D118,Engines_all!$A$3:'Engines_all'!$V$843,14,FALSE)</f>
        <v>0.1490388</v>
      </c>
      <c r="U118" s="78">
        <f>VLOOKUP($D118,Engines_all!$A$3:'Engines_all'!$V$843,15,FALSE)</f>
        <v>1.279271412E-2</v>
      </c>
      <c r="V118" s="222">
        <f>VLOOKUP($D118,Engines_all!$A$3:'Engines_all'!$V$843,16,FALSE)</f>
        <v>9.731988E+17</v>
      </c>
      <c r="W118" s="77">
        <f t="shared" si="222"/>
        <v>9.0660000000000011E-3</v>
      </c>
      <c r="X118" s="78">
        <f>IF(E118="K",Q118*'Rest Calc'!B$16,Q118*'Rest Calc'!B$17)</f>
        <v>57.297120000000007</v>
      </c>
      <c r="Y118" s="76">
        <f>VLOOKUP($D118,Engines_all!$A$3:'Engines_all'!$V$843,17,FALSE)</f>
        <v>840</v>
      </c>
      <c r="Z118" s="76">
        <f>VLOOKUP($D118,Engines_all!$A$3:'Engines_all'!$V$843,18,FALSE)</f>
        <v>1.68</v>
      </c>
      <c r="AA118" s="76">
        <f>VLOOKUP($D118,Engines_all!$A$3:'Engines_all'!$V$843,19,FALSE)</f>
        <v>45.275999999999996</v>
      </c>
      <c r="AB118" s="76">
        <f>VLOOKUP($D118,Engines_all!$A$3:'Engines_all'!$V$843,20,FALSE)</f>
        <v>59.64</v>
      </c>
      <c r="AC118" s="76">
        <f>VLOOKUP($D118,Engines_all!$A$3:'Engines_all'!$V$843,21,FALSE)</f>
        <v>0.46915931999999999</v>
      </c>
      <c r="AD118" s="222">
        <f>VLOOKUP($D118,Engines_all!$A$3:'Engines_all'!$V$843,22,FALSE)</f>
        <v>7.7028E+16</v>
      </c>
      <c r="AE118" s="80">
        <f t="shared" si="223"/>
        <v>0.42</v>
      </c>
      <c r="AF118" s="79">
        <f>IF(E118="K",Y118*'Rest Calc'!B$16,Y118*'Rest Calc'!B$17)</f>
        <v>2654.4</v>
      </c>
      <c r="AG118" s="79">
        <f>IF(ALECA_Input!D$121="Standard",VLOOKUP($B118,$A$211:$J$218,6,FALSE),VLOOKUP($B118,$A$211:$J$218,10,FALSE))</f>
        <v>5</v>
      </c>
      <c r="AH118" s="163">
        <v>90</v>
      </c>
      <c r="AI118" s="75">
        <v>8</v>
      </c>
      <c r="AJ118" s="74"/>
      <c r="AK118" s="74"/>
      <c r="AL118" s="74"/>
    </row>
    <row r="119" spans="1:38" x14ac:dyDescent="0.25">
      <c r="A119" s="74" t="s">
        <v>468</v>
      </c>
      <c r="B119" s="75" t="s">
        <v>396</v>
      </c>
      <c r="C119" s="74" t="s">
        <v>320</v>
      </c>
      <c r="D119" s="74" t="s">
        <v>680</v>
      </c>
      <c r="E119" s="75" t="s">
        <v>2936</v>
      </c>
      <c r="F119" s="136">
        <v>2</v>
      </c>
      <c r="G119" s="243">
        <f>VLOOKUP(D119,Engines_all!$A$3:$AZ$843,52,FALSE)</f>
        <v>16.5</v>
      </c>
      <c r="H119" s="74">
        <f>ALECA_Input!G82</f>
        <v>0</v>
      </c>
      <c r="I119" s="82">
        <f t="shared" si="214"/>
        <v>0</v>
      </c>
      <c r="J119" s="82">
        <f t="shared" si="215"/>
        <v>0</v>
      </c>
      <c r="K119" s="82">
        <f t="shared" si="216"/>
        <v>0</v>
      </c>
      <c r="L119" s="82">
        <f t="shared" si="217"/>
        <v>0</v>
      </c>
      <c r="M119" s="161">
        <f t="shared" si="218"/>
        <v>0</v>
      </c>
      <c r="N119" s="82">
        <f t="shared" si="219"/>
        <v>0</v>
      </c>
      <c r="O119" s="82">
        <f t="shared" si="220"/>
        <v>0</v>
      </c>
      <c r="P119" s="262">
        <f t="shared" si="221"/>
        <v>0</v>
      </c>
      <c r="Q119" s="76">
        <f>VLOOKUP($D119,Engines_all!$A$3:'Engines_all'!$V$843,11,FALSE)</f>
        <v>17.891999999999999</v>
      </c>
      <c r="R119" s="78">
        <f>VLOOKUP($D119,Engines_all!$A$3:'Engines_all'!$V$843,12,FALSE)</f>
        <v>0.24063264000000001</v>
      </c>
      <c r="S119" s="78">
        <f>VLOOKUP($D119,Engines_all!$A$3:'Engines_all'!$V$843,13,FALSE)</f>
        <v>1.0482480000000001E-2</v>
      </c>
      <c r="T119" s="78">
        <f>VLOOKUP($D119,Engines_all!$A$3:'Engines_all'!$V$843,14,FALSE)</f>
        <v>0.12269231999999999</v>
      </c>
      <c r="U119" s="78">
        <f>VLOOKUP($D119,Engines_all!$A$3:'Engines_all'!$V$843,15,FALSE)</f>
        <v>7.1446600800000003E-3</v>
      </c>
      <c r="V119" s="222">
        <f>VLOOKUP($D119,Engines_all!$A$3:'Engines_all'!$V$843,16,FALSE)</f>
        <v>1.2780822756141443E+17</v>
      </c>
      <c r="W119" s="77">
        <f t="shared" si="222"/>
        <v>8.9459999999999991E-3</v>
      </c>
      <c r="X119" s="78">
        <f>IF(E119="K",Q119*'Rest Calc'!B$16,Q119*'Rest Calc'!B$17)</f>
        <v>56.538719999999998</v>
      </c>
      <c r="Y119" s="76">
        <f>VLOOKUP($D119,Engines_all!$A$3:'Engines_all'!$V$843,17,FALSE)</f>
        <v>1559.9999999999998</v>
      </c>
      <c r="Z119" s="76">
        <f>VLOOKUP($D119,Engines_all!$A$3:'Engines_all'!$V$843,18,FALSE)</f>
        <v>5.8031999999999995</v>
      </c>
      <c r="AA119" s="76">
        <f>VLOOKUP($D119,Engines_all!$A$3:'Engines_all'!$V$843,19,FALSE)</f>
        <v>14.102399999999999</v>
      </c>
      <c r="AB119" s="76">
        <f>VLOOKUP($D119,Engines_all!$A$3:'Engines_all'!$V$843,20,FALSE)</f>
        <v>74.411999999999992</v>
      </c>
      <c r="AC119" s="76">
        <f>VLOOKUP($D119,Engines_all!$A$3:'Engines_all'!$V$843,21,FALSE)</f>
        <v>0.37398940799999997</v>
      </c>
      <c r="AD119" s="222">
        <f>VLOOKUP($D119,Engines_all!$A$3:'Engines_all'!$V$843,22,FALSE)</f>
        <v>1.1934578934013426E+16</v>
      </c>
      <c r="AE119" s="80">
        <f t="shared" si="223"/>
        <v>0.77999999999999992</v>
      </c>
      <c r="AF119" s="79">
        <f>IF(E119="K",Y119*'Rest Calc'!B$16,Y119*'Rest Calc'!B$17)</f>
        <v>4929.5999999999995</v>
      </c>
      <c r="AG119" s="79">
        <f>IF(ALECA_Input!D$121="Standard",VLOOKUP($B119,$A$211:$J$218,6,FALSE),VLOOKUP($B119,$A$211:$J$218,10,FALSE))</f>
        <v>0</v>
      </c>
      <c r="AH119" s="163">
        <f>G119/2+80</f>
        <v>88.25</v>
      </c>
      <c r="AI119" s="75">
        <v>5</v>
      </c>
      <c r="AJ119" s="74"/>
      <c r="AK119" s="74"/>
      <c r="AL119" s="74"/>
    </row>
    <row r="120" spans="1:38" x14ac:dyDescent="0.25">
      <c r="A120" s="74" t="s">
        <v>469</v>
      </c>
      <c r="B120" s="75" t="s">
        <v>396</v>
      </c>
      <c r="C120" s="74" t="s">
        <v>306</v>
      </c>
      <c r="D120" s="74" t="s">
        <v>680</v>
      </c>
      <c r="E120" s="75" t="s">
        <v>2936</v>
      </c>
      <c r="F120" s="136">
        <v>3</v>
      </c>
      <c r="G120" s="243">
        <f>VLOOKUP(D120,Engines_all!$A$3:$AZ$843,52,FALSE)</f>
        <v>16.5</v>
      </c>
      <c r="H120" s="74">
        <f>ALECA_Input!G83</f>
        <v>0</v>
      </c>
      <c r="I120" s="82">
        <f t="shared" si="214"/>
        <v>0</v>
      </c>
      <c r="J120" s="82">
        <f t="shared" si="215"/>
        <v>0</v>
      </c>
      <c r="K120" s="82">
        <f t="shared" si="216"/>
        <v>0</v>
      </c>
      <c r="L120" s="82">
        <f t="shared" si="217"/>
        <v>0</v>
      </c>
      <c r="M120" s="161">
        <f t="shared" si="218"/>
        <v>0</v>
      </c>
      <c r="N120" s="82">
        <f t="shared" si="219"/>
        <v>0</v>
      </c>
      <c r="O120" s="82">
        <f t="shared" si="220"/>
        <v>0</v>
      </c>
      <c r="P120" s="262">
        <f t="shared" si="221"/>
        <v>0</v>
      </c>
      <c r="Q120" s="76">
        <f>VLOOKUP($D120,Engines_all!$A$3:'Engines_all'!$V$843,11,FALSE)</f>
        <v>17.891999999999999</v>
      </c>
      <c r="R120" s="78">
        <f>VLOOKUP($D120,Engines_all!$A$3:'Engines_all'!$V$843,12,FALSE)</f>
        <v>0.24063264000000001</v>
      </c>
      <c r="S120" s="78">
        <f>VLOOKUP($D120,Engines_all!$A$3:'Engines_all'!$V$843,13,FALSE)</f>
        <v>1.0482480000000001E-2</v>
      </c>
      <c r="T120" s="78">
        <f>VLOOKUP($D120,Engines_all!$A$3:'Engines_all'!$V$843,14,FALSE)</f>
        <v>0.12269231999999999</v>
      </c>
      <c r="U120" s="78">
        <f>VLOOKUP($D120,Engines_all!$A$3:'Engines_all'!$V$843,15,FALSE)</f>
        <v>7.1446600800000003E-3</v>
      </c>
      <c r="V120" s="222">
        <f>VLOOKUP($D120,Engines_all!$A$3:'Engines_all'!$V$843,16,FALSE)</f>
        <v>1.2780822756141443E+17</v>
      </c>
      <c r="W120" s="77">
        <f t="shared" si="222"/>
        <v>8.9459999999999991E-3</v>
      </c>
      <c r="X120" s="78">
        <f>IF(E120="K",Q120*'Rest Calc'!B$16,Q120*'Rest Calc'!B$17)</f>
        <v>56.538719999999998</v>
      </c>
      <c r="Y120" s="76">
        <f>VLOOKUP($D120,Engines_all!$A$3:'Engines_all'!$V$843,17,FALSE)</f>
        <v>1559.9999999999998</v>
      </c>
      <c r="Z120" s="76">
        <f>VLOOKUP($D120,Engines_all!$A$3:'Engines_all'!$V$843,18,FALSE)</f>
        <v>5.8031999999999995</v>
      </c>
      <c r="AA120" s="76">
        <f>VLOOKUP($D120,Engines_all!$A$3:'Engines_all'!$V$843,19,FALSE)</f>
        <v>14.102399999999999</v>
      </c>
      <c r="AB120" s="76">
        <f>VLOOKUP($D120,Engines_all!$A$3:'Engines_all'!$V$843,20,FALSE)</f>
        <v>74.411999999999992</v>
      </c>
      <c r="AC120" s="76">
        <f>VLOOKUP($D120,Engines_all!$A$3:'Engines_all'!$V$843,21,FALSE)</f>
        <v>0.37398940799999997</v>
      </c>
      <c r="AD120" s="222">
        <f>VLOOKUP($D120,Engines_all!$A$3:'Engines_all'!$V$843,22,FALSE)</f>
        <v>1.1934578934013426E+16</v>
      </c>
      <c r="AE120" s="80">
        <f t="shared" si="223"/>
        <v>0.77999999999999992</v>
      </c>
      <c r="AF120" s="79">
        <f>IF(E120="K",Y120*'Rest Calc'!B$16,Y120*'Rest Calc'!B$17)</f>
        <v>4929.5999999999995</v>
      </c>
      <c r="AG120" s="79">
        <f>IF(ALECA_Input!D$121="Standard",VLOOKUP($B120,$A$211:$J$218,6,FALSE),VLOOKUP($B120,$A$211:$J$218,10,FALSE))</f>
        <v>0</v>
      </c>
      <c r="AH120" s="163">
        <f>G120/2+80</f>
        <v>88.25</v>
      </c>
      <c r="AI120" s="75">
        <v>5</v>
      </c>
      <c r="AJ120" s="74"/>
      <c r="AK120" s="74"/>
      <c r="AL120" s="74"/>
    </row>
    <row r="121" spans="1:38" x14ac:dyDescent="0.25">
      <c r="A121" s="74" t="s">
        <v>470</v>
      </c>
      <c r="B121" s="75" t="s">
        <v>396</v>
      </c>
      <c r="C121" s="74" t="s">
        <v>307</v>
      </c>
      <c r="D121" s="74" t="s">
        <v>680</v>
      </c>
      <c r="E121" s="75" t="s">
        <v>2936</v>
      </c>
      <c r="F121" s="136">
        <v>3</v>
      </c>
      <c r="G121" s="243">
        <f>VLOOKUP(D121,Engines_all!$A$3:$AZ$843,52,FALSE)</f>
        <v>16.5</v>
      </c>
      <c r="H121" s="74">
        <f>ALECA_Input!G84</f>
        <v>0</v>
      </c>
      <c r="I121" s="82">
        <f t="shared" si="214"/>
        <v>0</v>
      </c>
      <c r="J121" s="82">
        <f t="shared" si="215"/>
        <v>0</v>
      </c>
      <c r="K121" s="82">
        <f t="shared" si="216"/>
        <v>0</v>
      </c>
      <c r="L121" s="82">
        <f t="shared" si="217"/>
        <v>0</v>
      </c>
      <c r="M121" s="161">
        <f t="shared" si="218"/>
        <v>0</v>
      </c>
      <c r="N121" s="82">
        <f t="shared" si="219"/>
        <v>0</v>
      </c>
      <c r="O121" s="82">
        <f t="shared" si="220"/>
        <v>0</v>
      </c>
      <c r="P121" s="262">
        <f t="shared" si="221"/>
        <v>0</v>
      </c>
      <c r="Q121" s="76">
        <f>VLOOKUP($D121,Engines_all!$A$3:'Engines_all'!$V$843,11,FALSE)</f>
        <v>17.891999999999999</v>
      </c>
      <c r="R121" s="78">
        <f>VLOOKUP($D121,Engines_all!$A$3:'Engines_all'!$V$843,12,FALSE)</f>
        <v>0.24063264000000001</v>
      </c>
      <c r="S121" s="78">
        <f>VLOOKUP($D121,Engines_all!$A$3:'Engines_all'!$V$843,13,FALSE)</f>
        <v>1.0482480000000001E-2</v>
      </c>
      <c r="T121" s="78">
        <f>VLOOKUP($D121,Engines_all!$A$3:'Engines_all'!$V$843,14,FALSE)</f>
        <v>0.12269231999999999</v>
      </c>
      <c r="U121" s="78">
        <f>VLOOKUP($D121,Engines_all!$A$3:'Engines_all'!$V$843,15,FALSE)</f>
        <v>7.1446600800000003E-3</v>
      </c>
      <c r="V121" s="222">
        <f>VLOOKUP($D121,Engines_all!$A$3:'Engines_all'!$V$843,16,FALSE)</f>
        <v>1.2780822756141443E+17</v>
      </c>
      <c r="W121" s="77">
        <f t="shared" si="222"/>
        <v>8.9459999999999991E-3</v>
      </c>
      <c r="X121" s="78">
        <f>IF(E121="K",Q121*'Rest Calc'!B$16,Q121*'Rest Calc'!B$17)</f>
        <v>56.538719999999998</v>
      </c>
      <c r="Y121" s="76">
        <f>VLOOKUP($D121,Engines_all!$A$3:'Engines_all'!$V$843,17,FALSE)</f>
        <v>1559.9999999999998</v>
      </c>
      <c r="Z121" s="76">
        <f>VLOOKUP($D121,Engines_all!$A$3:'Engines_all'!$V$843,18,FALSE)</f>
        <v>5.8031999999999995</v>
      </c>
      <c r="AA121" s="76">
        <f>VLOOKUP($D121,Engines_all!$A$3:'Engines_all'!$V$843,19,FALSE)</f>
        <v>14.102399999999999</v>
      </c>
      <c r="AB121" s="76">
        <f>VLOOKUP($D121,Engines_all!$A$3:'Engines_all'!$V$843,20,FALSE)</f>
        <v>74.411999999999992</v>
      </c>
      <c r="AC121" s="76">
        <f>VLOOKUP($D121,Engines_all!$A$3:'Engines_all'!$V$843,21,FALSE)</f>
        <v>0.37398940799999997</v>
      </c>
      <c r="AD121" s="222">
        <f>VLOOKUP($D121,Engines_all!$A$3:'Engines_all'!$V$843,22,FALSE)</f>
        <v>1.1934578934013426E+16</v>
      </c>
      <c r="AE121" s="80">
        <f t="shared" si="223"/>
        <v>0.77999999999999992</v>
      </c>
      <c r="AF121" s="79">
        <f>IF(E121="K",Y121*'Rest Calc'!B$16,Y121*'Rest Calc'!B$17)</f>
        <v>4929.5999999999995</v>
      </c>
      <c r="AG121" s="79">
        <f>IF(ALECA_Input!D$121="Standard",VLOOKUP($B121,$A$211:$J$218,6,FALSE),VLOOKUP($B121,$A$211:$J$218,10,FALSE))</f>
        <v>0</v>
      </c>
      <c r="AH121" s="163">
        <f>G121/2+80</f>
        <v>88.25</v>
      </c>
      <c r="AI121" s="75">
        <v>5</v>
      </c>
      <c r="AJ121" s="74"/>
      <c r="AK121" s="74"/>
      <c r="AL121" s="74"/>
    </row>
    <row r="122" spans="1:38" x14ac:dyDescent="0.25">
      <c r="A122" s="74" t="s">
        <v>471</v>
      </c>
      <c r="B122" s="75" t="s">
        <v>395</v>
      </c>
      <c r="C122" s="74" t="s">
        <v>308</v>
      </c>
      <c r="D122" s="74" t="s">
        <v>681</v>
      </c>
      <c r="E122" s="75" t="s">
        <v>2936</v>
      </c>
      <c r="F122" s="136">
        <v>2</v>
      </c>
      <c r="G122" s="243">
        <f>VLOOKUP(D122,Engines_all!$A$3:$AZ$843,52,FALSE)</f>
        <v>61.6</v>
      </c>
      <c r="H122" s="74">
        <f>ALECA_Input!G85</f>
        <v>0</v>
      </c>
      <c r="I122" s="82">
        <f t="shared" si="214"/>
        <v>0</v>
      </c>
      <c r="J122" s="82">
        <f t="shared" si="215"/>
        <v>0</v>
      </c>
      <c r="K122" s="82">
        <f t="shared" si="216"/>
        <v>0</v>
      </c>
      <c r="L122" s="82">
        <f t="shared" si="217"/>
        <v>0</v>
      </c>
      <c r="M122" s="161">
        <f t="shared" si="218"/>
        <v>0</v>
      </c>
      <c r="N122" s="82">
        <f t="shared" si="219"/>
        <v>0</v>
      </c>
      <c r="O122" s="82">
        <f t="shared" si="220"/>
        <v>0</v>
      </c>
      <c r="P122" s="262">
        <f t="shared" si="221"/>
        <v>0</v>
      </c>
      <c r="Q122" s="76">
        <f>VLOOKUP($D122,Engines_all!$A$3:'Engines_all'!$V$843,11,FALSE)</f>
        <v>170.28000000000003</v>
      </c>
      <c r="R122" s="78">
        <f>VLOOKUP($D122,Engines_all!$A$3:'Engines_all'!$V$843,12,FALSE)</f>
        <v>2.38524</v>
      </c>
      <c r="S122" s="78">
        <f>VLOOKUP($D122,Engines_all!$A$3:'Engines_all'!$V$843,13,FALSE)</f>
        <v>0.10016400000000002</v>
      </c>
      <c r="T122" s="78">
        <f>VLOOKUP($D122,Engines_all!$A$3:'Engines_all'!$V$843,14,FALSE)</f>
        <v>0.30415199999999998</v>
      </c>
      <c r="U122" s="78">
        <f>VLOOKUP($D122,Engines_all!$A$3:'Engines_all'!$V$843,15,FALSE)</f>
        <v>9.5742780204114947E-2</v>
      </c>
      <c r="V122" s="222">
        <f>VLOOKUP($D122,Engines_all!$A$3:'Engines_all'!$V$843,16,FALSE)</f>
        <v>1.2944210585573E+18</v>
      </c>
      <c r="W122" s="77">
        <f t="shared" si="222"/>
        <v>8.5140000000000021E-2</v>
      </c>
      <c r="X122" s="78">
        <f>IF(E122="K",Q122*'Rest Calc'!B$16,Q122*'Rest Calc'!B$17)</f>
        <v>538.08480000000009</v>
      </c>
      <c r="Y122" s="76">
        <f>VLOOKUP($D122,Engines_all!$A$3:'Engines_all'!$V$843,17,FALSE)</f>
        <v>6600</v>
      </c>
      <c r="Z122" s="76">
        <f>VLOOKUP($D122,Engines_all!$A$3:'Engines_all'!$V$843,18,FALSE)</f>
        <v>16.5</v>
      </c>
      <c r="AA122" s="76">
        <f>VLOOKUP($D122,Engines_all!$A$3:'Engines_all'!$V$843,19,FALSE)</f>
        <v>22.439999999999998</v>
      </c>
      <c r="AB122" s="76">
        <f>VLOOKUP($D122,Engines_all!$A$3:'Engines_all'!$V$843,20,FALSE)</f>
        <v>159.06</v>
      </c>
      <c r="AC122" s="76">
        <f>VLOOKUP($D122,Engines_all!$A$3:'Engines_all'!$V$843,21,FALSE)</f>
        <v>3.1964093001251062</v>
      </c>
      <c r="AD122" s="222">
        <f>VLOOKUP($D122,Engines_all!$A$3:'Engines_all'!$V$843,22,FALSE)</f>
        <v>1.3799207319452203E+17</v>
      </c>
      <c r="AE122" s="80">
        <f t="shared" si="223"/>
        <v>3.3000000000000003</v>
      </c>
      <c r="AF122" s="79">
        <f>IF(E122="K",Y122*'Rest Calc'!B$16,Y122*'Rest Calc'!B$17)</f>
        <v>20856</v>
      </c>
      <c r="AG122" s="79">
        <f>IF(ALECA_Input!D$121="Standard",VLOOKUP($B122,$A$211:$J$218,6,FALSE),VLOOKUP($B122,$A$211:$J$218,10,FALSE))</f>
        <v>0</v>
      </c>
      <c r="AH122" s="163">
        <f>G122/2+80</f>
        <v>110.8</v>
      </c>
      <c r="AI122" s="75">
        <v>4</v>
      </c>
      <c r="AJ122" s="74"/>
      <c r="AK122" s="74"/>
      <c r="AL122" s="74"/>
    </row>
    <row r="123" spans="1:38" x14ac:dyDescent="0.25">
      <c r="A123" s="74" t="s">
        <v>309</v>
      </c>
      <c r="B123" s="75" t="s">
        <v>386</v>
      </c>
      <c r="C123" s="74" t="s">
        <v>310</v>
      </c>
      <c r="D123" s="74" t="s">
        <v>311</v>
      </c>
      <c r="E123" s="75" t="s">
        <v>2936</v>
      </c>
      <c r="F123" s="136">
        <v>2</v>
      </c>
      <c r="G123" s="243">
        <f>VLOOKUP(D123,Engines_all!$A$3:$AZ$843,52,FALSE)</f>
        <v>0</v>
      </c>
      <c r="H123" s="74">
        <f>ALECA_Input!G86</f>
        <v>0</v>
      </c>
      <c r="I123" s="82">
        <f t="shared" si="214"/>
        <v>0</v>
      </c>
      <c r="J123" s="82">
        <f t="shared" si="215"/>
        <v>0</v>
      </c>
      <c r="K123" s="82">
        <f t="shared" si="216"/>
        <v>0</v>
      </c>
      <c r="L123" s="82">
        <f t="shared" si="217"/>
        <v>0</v>
      </c>
      <c r="M123" s="161">
        <f t="shared" si="218"/>
        <v>0</v>
      </c>
      <c r="N123" s="82">
        <f t="shared" si="219"/>
        <v>0</v>
      </c>
      <c r="O123" s="82">
        <f t="shared" si="220"/>
        <v>0</v>
      </c>
      <c r="P123" s="262">
        <f t="shared" si="221"/>
        <v>0</v>
      </c>
      <c r="Q123" s="76">
        <f>VLOOKUP($D123,Engines_all!$A$3:'Engines_all'!$V$843,11,FALSE)</f>
        <v>50.868000000000002</v>
      </c>
      <c r="R123" s="78">
        <f>VLOOKUP($D123,Engines_all!$A$3:'Engines_all'!$V$843,12,FALSE)</f>
        <v>0.15565920000000003</v>
      </c>
      <c r="S123" s="78">
        <f>VLOOKUP($D123,Engines_all!$A$3:'Engines_all'!$V$843,13,FALSE)</f>
        <v>9.7179000000000001E-2</v>
      </c>
      <c r="T123" s="78">
        <f>VLOOKUP($D123,Engines_all!$A$3:'Engines_all'!$V$843,14,FALSE)</f>
        <v>0.83138040000000002</v>
      </c>
      <c r="U123" s="78">
        <f>VLOOKUP($D123,Engines_all!$A$3:'Engines_all'!$V$843,15,FALSE)</f>
        <v>2.8749094380000003E-2</v>
      </c>
      <c r="V123" s="222">
        <f>VLOOKUP($D123,Engines_all!$A$3:'Engines_all'!$V$843,16,FALSE)</f>
        <v>5.0816275821057715E+17</v>
      </c>
      <c r="W123" s="77">
        <f t="shared" si="222"/>
        <v>2.5434000000000002E-2</v>
      </c>
      <c r="X123" s="78">
        <f>IF(E123="K",Q123*'Rest Calc'!B$16,Q123*'Rest Calc'!B$17)</f>
        <v>160.74288000000001</v>
      </c>
      <c r="Y123" s="76">
        <f>VLOOKUP($D123,Engines_all!$A$3:'Engines_all'!$V$843,17,FALSE)</f>
        <v>3102.0000000000005</v>
      </c>
      <c r="Z123" s="76">
        <f>VLOOKUP($D123,Engines_all!$A$3:'Engines_all'!$V$843,18,FALSE)</f>
        <v>2.1714000000000002</v>
      </c>
      <c r="AA123" s="76">
        <f>VLOOKUP($D123,Engines_all!$A$3:'Engines_all'!$V$843,19,FALSE)</f>
        <v>74.137800000000013</v>
      </c>
      <c r="AB123" s="76">
        <f>VLOOKUP($D123,Engines_all!$A$3:'Engines_all'!$V$843,20,FALSE)</f>
        <v>283.52280000000002</v>
      </c>
      <c r="AC123" s="76">
        <f>VLOOKUP($D123,Engines_all!$A$3:'Engines_all'!$V$843,21,FALSE)</f>
        <v>1.2095411460000003</v>
      </c>
      <c r="AD123" s="222">
        <f>VLOOKUP($D123,Engines_all!$A$3:'Engines_all'!$V$843,22,FALSE)</f>
        <v>3.4015080036160584E+16</v>
      </c>
      <c r="AE123" s="80">
        <f t="shared" si="223"/>
        <v>1.5510000000000002</v>
      </c>
      <c r="AF123" s="79">
        <f>IF(E123="K",Y123*'Rest Calc'!B$16,Y123*'Rest Calc'!B$17)</f>
        <v>9802.3200000000015</v>
      </c>
      <c r="AG123" s="79">
        <f>IF(ALECA_Input!D$121="Standard",VLOOKUP($B123,$A$211:$J$218,6,FALSE),VLOOKUP($B123,$A$211:$J$218,10,FALSE))</f>
        <v>0</v>
      </c>
      <c r="AH123" s="163">
        <v>180</v>
      </c>
      <c r="AI123" s="75">
        <v>6</v>
      </c>
      <c r="AJ123" s="74"/>
      <c r="AK123" s="74"/>
      <c r="AL123" s="74"/>
    </row>
    <row r="124" spans="1:38" x14ac:dyDescent="0.25">
      <c r="A124" s="74" t="s">
        <v>472</v>
      </c>
      <c r="B124" s="75" t="s">
        <v>395</v>
      </c>
      <c r="C124" s="74" t="s">
        <v>312</v>
      </c>
      <c r="D124" s="74" t="s">
        <v>682</v>
      </c>
      <c r="E124" s="75" t="s">
        <v>2936</v>
      </c>
      <c r="F124" s="136">
        <v>2</v>
      </c>
      <c r="G124" s="243">
        <f>VLOOKUP(D124,Engines_all!$A$3:$AZ$843,52,FALSE)</f>
        <v>44</v>
      </c>
      <c r="H124" s="74">
        <f>ALECA_Input!G87</f>
        <v>0</v>
      </c>
      <c r="I124" s="82">
        <f t="shared" si="214"/>
        <v>0</v>
      </c>
      <c r="J124" s="82">
        <f t="shared" si="215"/>
        <v>0</v>
      </c>
      <c r="K124" s="82">
        <f t="shared" si="216"/>
        <v>0</v>
      </c>
      <c r="L124" s="82">
        <f t="shared" si="217"/>
        <v>0</v>
      </c>
      <c r="M124" s="161">
        <f t="shared" si="218"/>
        <v>0</v>
      </c>
      <c r="N124" s="82">
        <f t="shared" si="219"/>
        <v>0</v>
      </c>
      <c r="O124" s="82">
        <f t="shared" si="220"/>
        <v>0</v>
      </c>
      <c r="P124" s="262">
        <f t="shared" si="221"/>
        <v>0</v>
      </c>
      <c r="Q124" s="76">
        <f>VLOOKUP($D124,Engines_all!$A$3:'Engines_all'!$V$843,11,FALSE)</f>
        <v>162.18599999999998</v>
      </c>
      <c r="R124" s="78">
        <f>VLOOKUP($D124,Engines_all!$A$3:'Engines_all'!$V$843,12,FALSE)</f>
        <v>1.82511366</v>
      </c>
      <c r="S124" s="78">
        <f>VLOOKUP($D124,Engines_all!$A$3:'Engines_all'!$V$843,13,FALSE)</f>
        <v>3.9354419999999994E-2</v>
      </c>
      <c r="T124" s="78">
        <f>VLOOKUP($D124,Engines_all!$A$3:'Engines_all'!$V$843,14,FALSE)</f>
        <v>0.51692507999999993</v>
      </c>
      <c r="U124" s="78">
        <f>VLOOKUP($D124,Engines_all!$A$3:'Engines_all'!$V$843,15,FALSE)</f>
        <v>6.8251229135096958E-2</v>
      </c>
      <c r="V124" s="222">
        <f>VLOOKUP($D124,Engines_all!$A$3:'Engines_all'!$V$843,16,FALSE)</f>
        <v>8.1470258967654976E+17</v>
      </c>
      <c r="W124" s="77">
        <f t="shared" si="222"/>
        <v>8.1092999999999985E-2</v>
      </c>
      <c r="X124" s="78">
        <f>IF(E124="K",Q124*'Rest Calc'!B$16,Q124*'Rest Calc'!B$17)</f>
        <v>512.50775999999996</v>
      </c>
      <c r="Y124" s="76">
        <f>VLOOKUP($D124,Engines_all!$A$3:'Engines_all'!$V$843,17,FALSE)</f>
        <v>5784</v>
      </c>
      <c r="Z124" s="76">
        <f>VLOOKUP($D124,Engines_all!$A$3:'Engines_all'!$V$843,18,FALSE)</f>
        <v>12.89832</v>
      </c>
      <c r="AA124" s="76">
        <f>VLOOKUP($D124,Engines_all!$A$3:'Engines_all'!$V$843,19,FALSE)</f>
        <v>19.72344</v>
      </c>
      <c r="AB124" s="76">
        <f>VLOOKUP($D124,Engines_all!$A$3:'Engines_all'!$V$843,20,FALSE)</f>
        <v>180.22943999999998</v>
      </c>
      <c r="AC124" s="76">
        <f>VLOOKUP($D124,Engines_all!$A$3:'Engines_all'!$V$843,21,FALSE)</f>
        <v>1.8292695850894667</v>
      </c>
      <c r="AD124" s="222">
        <f>VLOOKUP($D124,Engines_all!$A$3:'Engines_all'!$V$843,22,FALSE)</f>
        <v>7.1871208754085296E+16</v>
      </c>
      <c r="AE124" s="80">
        <f t="shared" si="223"/>
        <v>2.8919999999999999</v>
      </c>
      <c r="AF124" s="79">
        <f>IF(E124="K",Y124*'Rest Calc'!B$16,Y124*'Rest Calc'!B$17)</f>
        <v>18277.440000000002</v>
      </c>
      <c r="AG124" s="79">
        <f>IF(ALECA_Input!D$121="Standard",VLOOKUP($B124,$A$211:$J$218,6,FALSE),VLOOKUP($B124,$A$211:$J$218,10,FALSE))</f>
        <v>0</v>
      </c>
      <c r="AH124" s="163">
        <f>G124/2+80</f>
        <v>102</v>
      </c>
      <c r="AI124" s="75">
        <v>4</v>
      </c>
      <c r="AJ124" s="74"/>
      <c r="AK124" s="74"/>
      <c r="AL124" s="74"/>
    </row>
    <row r="125" spans="1:38" x14ac:dyDescent="0.25">
      <c r="A125" s="74" t="s">
        <v>313</v>
      </c>
      <c r="B125" s="75" t="s">
        <v>386</v>
      </c>
      <c r="C125" s="74" t="s">
        <v>314</v>
      </c>
      <c r="D125" s="74" t="s">
        <v>314</v>
      </c>
      <c r="E125" s="75" t="s">
        <v>2936</v>
      </c>
      <c r="F125" s="136">
        <v>2</v>
      </c>
      <c r="G125" s="243">
        <f>VLOOKUP(D125,Engines_all!$A$3:$AZ$843,52,FALSE)</f>
        <v>0</v>
      </c>
      <c r="H125" s="74">
        <f>ALECA_Input!G88</f>
        <v>0</v>
      </c>
      <c r="I125" s="82">
        <f t="shared" si="214"/>
        <v>0</v>
      </c>
      <c r="J125" s="82">
        <f t="shared" si="215"/>
        <v>0</v>
      </c>
      <c r="K125" s="82">
        <f t="shared" si="216"/>
        <v>0</v>
      </c>
      <c r="L125" s="82">
        <f t="shared" si="217"/>
        <v>0</v>
      </c>
      <c r="M125" s="161">
        <f t="shared" si="218"/>
        <v>0</v>
      </c>
      <c r="N125" s="82">
        <f t="shared" si="219"/>
        <v>0</v>
      </c>
      <c r="O125" s="82">
        <f t="shared" si="220"/>
        <v>0</v>
      </c>
      <c r="P125" s="262">
        <f t="shared" si="221"/>
        <v>0</v>
      </c>
      <c r="Q125" s="76">
        <f>VLOOKUP($D125,Engines_all!$A$3:'Engines_all'!$V$843,11,FALSE)</f>
        <v>46.503</v>
      </c>
      <c r="R125" s="78">
        <f>VLOOKUP($D125,Engines_all!$A$3:'Engines_all'!$V$843,12,FALSE)</f>
        <v>0.62527080000000002</v>
      </c>
      <c r="S125" s="78">
        <f>VLOOKUP($D125,Engines_all!$A$3:'Engines_all'!$V$843,13,FALSE)</f>
        <v>4.6503000000000005E-5</v>
      </c>
      <c r="T125" s="78">
        <f>VLOOKUP($D125,Engines_all!$A$3:'Engines_all'!$V$843,14,FALSE)</f>
        <v>0.12808530000000001</v>
      </c>
      <c r="U125" s="78">
        <f>VLOOKUP($D125,Engines_all!$A$3:'Engines_all'!$V$843,15,FALSE)</f>
        <v>2.156648298375E-2</v>
      </c>
      <c r="V125" s="222">
        <f>VLOOKUP($D125,Engines_all!$A$3:'Engines_all'!$V$843,16,FALSE)</f>
        <v>5.3306320680817306E+17</v>
      </c>
      <c r="W125" s="77">
        <f t="shared" si="222"/>
        <v>2.3251500000000001E-2</v>
      </c>
      <c r="X125" s="78">
        <f>IF(E125="K",Q125*'Rest Calc'!B$16,Q125*'Rest Calc'!B$17)</f>
        <v>146.94947999999999</v>
      </c>
      <c r="Y125" s="76">
        <f>VLOOKUP($D125,Engines_all!$A$3:'Engines_all'!$V$843,17,FALSE)</f>
        <v>2982</v>
      </c>
      <c r="Z125" s="76">
        <f>VLOOKUP($D125,Engines_all!$A$3:'Engines_all'!$V$843,18,FALSE)</f>
        <v>20.575800000000001</v>
      </c>
      <c r="AA125" s="76">
        <f>VLOOKUP($D125,Engines_all!$A$3:'Engines_all'!$V$843,19,FALSE)</f>
        <v>0</v>
      </c>
      <c r="AB125" s="76">
        <f>VLOOKUP($D125,Engines_all!$A$3:'Engines_all'!$V$843,20,FALSE)</f>
        <v>27.434400000000004</v>
      </c>
      <c r="AC125" s="76">
        <f>VLOOKUP($D125,Engines_all!$A$3:'Engines_all'!$V$843,21,FALSE)</f>
        <v>0.74538072</v>
      </c>
      <c r="AD125" s="222">
        <f>VLOOKUP($D125,Engines_all!$A$3:'Engines_all'!$V$843,22,FALSE)</f>
        <v>3.3966627685787444E+16</v>
      </c>
      <c r="AE125" s="80">
        <f t="shared" si="223"/>
        <v>1.4910000000000001</v>
      </c>
      <c r="AF125" s="79">
        <f>IF(E125="K",Y125*'Rest Calc'!B$16,Y125*'Rest Calc'!B$17)</f>
        <v>9423.1200000000008</v>
      </c>
      <c r="AG125" s="79">
        <f>IF(ALECA_Input!D$121="Standard",VLOOKUP($B125,$A$211:$J$218,6,FALSE),VLOOKUP($B125,$A$211:$J$218,10,FALSE))</f>
        <v>0</v>
      </c>
      <c r="AH125" s="163">
        <v>180</v>
      </c>
      <c r="AI125" s="75">
        <v>6</v>
      </c>
      <c r="AJ125" s="74"/>
      <c r="AK125" s="74"/>
      <c r="AL125" s="74"/>
    </row>
    <row r="126" spans="1:38" x14ac:dyDescent="0.25">
      <c r="A126" s="74" t="s">
        <v>473</v>
      </c>
      <c r="B126" s="75" t="s">
        <v>395</v>
      </c>
      <c r="C126" s="74" t="s">
        <v>308</v>
      </c>
      <c r="D126" s="74" t="s">
        <v>681</v>
      </c>
      <c r="E126" s="75" t="s">
        <v>2936</v>
      </c>
      <c r="F126" s="136">
        <v>2</v>
      </c>
      <c r="G126" s="243">
        <f>VLOOKUP(D126,Engines_all!$A$3:$AZ$843,52,FALSE)</f>
        <v>61.6</v>
      </c>
      <c r="H126" s="74">
        <f>ALECA_Input!G89</f>
        <v>0</v>
      </c>
      <c r="I126" s="82">
        <f t="shared" si="214"/>
        <v>0</v>
      </c>
      <c r="J126" s="82">
        <f t="shared" si="215"/>
        <v>0</v>
      </c>
      <c r="K126" s="82">
        <f t="shared" si="216"/>
        <v>0</v>
      </c>
      <c r="L126" s="82">
        <f t="shared" si="217"/>
        <v>0</v>
      </c>
      <c r="M126" s="161">
        <f t="shared" si="218"/>
        <v>0</v>
      </c>
      <c r="N126" s="82">
        <f t="shared" si="219"/>
        <v>0</v>
      </c>
      <c r="O126" s="82">
        <f t="shared" si="220"/>
        <v>0</v>
      </c>
      <c r="P126" s="262">
        <f t="shared" si="221"/>
        <v>0</v>
      </c>
      <c r="Q126" s="76">
        <f>VLOOKUP($D126,Engines_all!$A$3:'Engines_all'!$V$843,11,FALSE)</f>
        <v>170.28000000000003</v>
      </c>
      <c r="R126" s="78">
        <f>VLOOKUP($D126,Engines_all!$A$3:'Engines_all'!$V$843,12,FALSE)</f>
        <v>2.38524</v>
      </c>
      <c r="S126" s="78">
        <f>VLOOKUP($D126,Engines_all!$A$3:'Engines_all'!$V$843,13,FALSE)</f>
        <v>0.10016400000000002</v>
      </c>
      <c r="T126" s="78">
        <f>VLOOKUP($D126,Engines_all!$A$3:'Engines_all'!$V$843,14,FALSE)</f>
        <v>0.30415199999999998</v>
      </c>
      <c r="U126" s="78">
        <f>VLOOKUP($D126,Engines_all!$A$3:'Engines_all'!$V$843,15,FALSE)</f>
        <v>9.5742780204114947E-2</v>
      </c>
      <c r="V126" s="222">
        <f>VLOOKUP($D126,Engines_all!$A$3:'Engines_all'!$V$843,16,FALSE)</f>
        <v>1.2944210585573E+18</v>
      </c>
      <c r="W126" s="77">
        <f t="shared" si="222"/>
        <v>8.5140000000000021E-2</v>
      </c>
      <c r="X126" s="78">
        <f>IF(E126="K",Q126*'Rest Calc'!B$16,Q126*'Rest Calc'!B$17)</f>
        <v>538.08480000000009</v>
      </c>
      <c r="Y126" s="76">
        <f>VLOOKUP($D126,Engines_all!$A$3:'Engines_all'!$V$843,17,FALSE)</f>
        <v>6600</v>
      </c>
      <c r="Z126" s="76">
        <f>VLOOKUP($D126,Engines_all!$A$3:'Engines_all'!$V$843,18,FALSE)</f>
        <v>16.5</v>
      </c>
      <c r="AA126" s="76">
        <f>VLOOKUP($D126,Engines_all!$A$3:'Engines_all'!$V$843,19,FALSE)</f>
        <v>22.439999999999998</v>
      </c>
      <c r="AB126" s="76">
        <f>VLOOKUP($D126,Engines_all!$A$3:'Engines_all'!$V$843,20,FALSE)</f>
        <v>159.06</v>
      </c>
      <c r="AC126" s="76">
        <f>VLOOKUP($D126,Engines_all!$A$3:'Engines_all'!$V$843,21,FALSE)</f>
        <v>3.1964093001251062</v>
      </c>
      <c r="AD126" s="222">
        <f>VLOOKUP($D126,Engines_all!$A$3:'Engines_all'!$V$843,22,FALSE)</f>
        <v>1.3799207319452203E+17</v>
      </c>
      <c r="AE126" s="80">
        <f t="shared" si="223"/>
        <v>3.3000000000000003</v>
      </c>
      <c r="AF126" s="79">
        <f>IF(E126="K",Y126*'Rest Calc'!B$16,Y126*'Rest Calc'!B$17)</f>
        <v>20856</v>
      </c>
      <c r="AG126" s="79">
        <f>IF(ALECA_Input!D$121="Standard",VLOOKUP($B126,$A$211:$J$218,6,FALSE),VLOOKUP($B126,$A$211:$J$218,10,FALSE))</f>
        <v>0</v>
      </c>
      <c r="AH126" s="163">
        <f t="shared" ref="AH126:AH143" si="224">G126/2+80</f>
        <v>110.8</v>
      </c>
      <c r="AI126" s="75">
        <v>4</v>
      </c>
      <c r="AJ126" s="74"/>
      <c r="AK126" s="74"/>
      <c r="AL126" s="74"/>
    </row>
    <row r="127" spans="1:38" x14ac:dyDescent="0.25">
      <c r="A127" s="74" t="s">
        <v>474</v>
      </c>
      <c r="B127" s="75" t="s">
        <v>396</v>
      </c>
      <c r="C127" s="74" t="s">
        <v>315</v>
      </c>
      <c r="D127" s="74" t="s">
        <v>683</v>
      </c>
      <c r="E127" s="75" t="s">
        <v>2936</v>
      </c>
      <c r="F127" s="136">
        <v>2</v>
      </c>
      <c r="G127" s="243">
        <f>VLOOKUP(D127,Engines_all!$A$3:$AZ$843,52,FALSE)</f>
        <v>26.867000000000001</v>
      </c>
      <c r="H127" s="74">
        <f>ALECA_Input!G90</f>
        <v>0</v>
      </c>
      <c r="I127" s="82">
        <f t="shared" ref="I127:I158" si="225">$H127/2*$F127*(R127+(Z127*$AG127/1000))</f>
        <v>0</v>
      </c>
      <c r="J127" s="82">
        <f t="shared" ref="J127:J158" si="226">$H127/2*$F127*(S127+(AA127*$AG127/1000))</f>
        <v>0</v>
      </c>
      <c r="K127" s="82">
        <f t="shared" ref="K127:K158" si="227">$H127/2*$F127*(T127+(AB127*$AG127/1000))</f>
        <v>0</v>
      </c>
      <c r="L127" s="82">
        <f t="shared" ref="L127:L158" si="228">$H127/2*$F127*(U127+(AC127*$AG127/1000))</f>
        <v>0</v>
      </c>
      <c r="M127" s="161">
        <f t="shared" ref="M127:M158" si="229">H127/2*$F127*(V127+AD127*AG127)</f>
        <v>0</v>
      </c>
      <c r="N127" s="82">
        <f t="shared" ref="N127:N158" si="230">$H127/2*$F127*(W127+(AE127*$AG127/1000))</f>
        <v>0</v>
      </c>
      <c r="O127" s="82">
        <f t="shared" ref="O127:O158" si="231">$H127/2*$F127*(X127+(AF127*$AG127/1000))</f>
        <v>0</v>
      </c>
      <c r="P127" s="262">
        <f t="shared" ref="P127:P158" si="232">F127*H127/2*AH127/1000</f>
        <v>0</v>
      </c>
      <c r="Q127" s="76">
        <f>VLOOKUP($D127,Engines_all!$A$3:'Engines_all'!$V$843,11,FALSE)</f>
        <v>71.555400000000006</v>
      </c>
      <c r="R127" s="78">
        <f>VLOOKUP($D127,Engines_all!$A$3:'Engines_all'!$V$843,12,FALSE)</f>
        <v>1.2163292880000001</v>
      </c>
      <c r="S127" s="78">
        <f>VLOOKUP($D127,Engines_all!$A$3:'Engines_all'!$V$843,13,FALSE)</f>
        <v>0</v>
      </c>
      <c r="T127" s="78">
        <f>VLOOKUP($D127,Engines_all!$A$3:'Engines_all'!$V$843,14,FALSE)</f>
        <v>0.28393728600000001</v>
      </c>
      <c r="U127" s="78">
        <f>VLOOKUP($D127,Engines_all!$A$3:'Engines_all'!$V$843,15,FALSE)</f>
        <v>1.1561119274962315E-2</v>
      </c>
      <c r="V127" s="222">
        <f>VLOOKUP($D127,Engines_all!$A$3:'Engines_all'!$V$843,16,FALSE)</f>
        <v>9.52717246745464E+16</v>
      </c>
      <c r="W127" s="77">
        <f t="shared" ref="W127:W158" si="233">Q127*0.0005</f>
        <v>3.5777700000000003E-2</v>
      </c>
      <c r="X127" s="78">
        <f>IF(E127="K",Q127*'Rest Calc'!B$16,Q127*'Rest Calc'!B$17)</f>
        <v>226.11506400000002</v>
      </c>
      <c r="Y127" s="76">
        <f>VLOOKUP($D127,Engines_all!$A$3:'Engines_all'!$V$843,17,FALSE)</f>
        <v>2532</v>
      </c>
      <c r="Z127" s="76">
        <f>VLOOKUP($D127,Engines_all!$A$3:'Engines_all'!$V$843,18,FALSE)</f>
        <v>10.78632</v>
      </c>
      <c r="AA127" s="76">
        <f>VLOOKUP($D127,Engines_all!$A$3:'Engines_all'!$V$843,19,FALSE)</f>
        <v>11.039520000000001</v>
      </c>
      <c r="AB127" s="76">
        <f>VLOOKUP($D127,Engines_all!$A$3:'Engines_all'!$V$843,20,FALSE)</f>
        <v>92.038200000000003</v>
      </c>
      <c r="AC127" s="76">
        <f>VLOOKUP($D127,Engines_all!$A$3:'Engines_all'!$V$843,21,FALSE)</f>
        <v>0.33128549578682298</v>
      </c>
      <c r="AD127" s="222">
        <f>VLOOKUP($D127,Engines_all!$A$3:'Engines_all'!$V$843,22,FALSE)</f>
        <v>7023931536240008</v>
      </c>
      <c r="AE127" s="80">
        <f t="shared" ref="AE127:AE158" si="234">Y127*0.0005</f>
        <v>1.266</v>
      </c>
      <c r="AF127" s="79">
        <f>IF(E127="K",Y127*'Rest Calc'!B$16,Y127*'Rest Calc'!B$17)</f>
        <v>8001.1200000000008</v>
      </c>
      <c r="AG127" s="79">
        <f>IF(ALECA_Input!D$121="Standard",VLOOKUP($B127,$A$211:$J$218,6,FALSE),VLOOKUP($B127,$A$211:$J$218,10,FALSE))</f>
        <v>0</v>
      </c>
      <c r="AH127" s="163">
        <f t="shared" si="224"/>
        <v>93.433499999999995</v>
      </c>
      <c r="AI127" s="75">
        <v>5</v>
      </c>
      <c r="AJ127" s="74"/>
      <c r="AK127" s="74"/>
      <c r="AL127" s="74"/>
    </row>
    <row r="128" spans="1:38" x14ac:dyDescent="0.25">
      <c r="A128" s="74" t="s">
        <v>475</v>
      </c>
      <c r="B128" s="75" t="s">
        <v>396</v>
      </c>
      <c r="C128" s="74" t="s">
        <v>316</v>
      </c>
      <c r="D128" s="74" t="s">
        <v>684</v>
      </c>
      <c r="E128" s="75" t="s">
        <v>2936</v>
      </c>
      <c r="F128" s="136">
        <v>2</v>
      </c>
      <c r="G128" s="243">
        <f>VLOOKUP(D128,Engines_all!$A$3:$AZ$843,52,FALSE)</f>
        <v>65.61</v>
      </c>
      <c r="H128" s="74">
        <f>ALECA_Input!G91</f>
        <v>0</v>
      </c>
      <c r="I128" s="82">
        <f t="shared" si="225"/>
        <v>0</v>
      </c>
      <c r="J128" s="82">
        <f t="shared" si="226"/>
        <v>0</v>
      </c>
      <c r="K128" s="82">
        <f t="shared" si="227"/>
        <v>0</v>
      </c>
      <c r="L128" s="82">
        <f t="shared" si="228"/>
        <v>0</v>
      </c>
      <c r="M128" s="161">
        <f t="shared" si="229"/>
        <v>0</v>
      </c>
      <c r="N128" s="82">
        <f t="shared" si="230"/>
        <v>0</v>
      </c>
      <c r="O128" s="82">
        <f t="shared" si="231"/>
        <v>0</v>
      </c>
      <c r="P128" s="262">
        <f t="shared" si="232"/>
        <v>0</v>
      </c>
      <c r="Q128" s="76">
        <f>VLOOKUP($D128,Engines_all!$A$3:'Engines_all'!$V$843,11,FALSE)</f>
        <v>159.88799999999998</v>
      </c>
      <c r="R128" s="78">
        <f>VLOOKUP($D128,Engines_all!$A$3:'Engines_all'!$V$843,12,FALSE)</f>
        <v>2.13606264</v>
      </c>
      <c r="S128" s="78">
        <f>VLOOKUP($D128,Engines_all!$A$3:'Engines_all'!$V$843,13,FALSE)</f>
        <v>4.7385599999999993E-3</v>
      </c>
      <c r="T128" s="78">
        <f>VLOOKUP($D128,Engines_all!$A$3:'Engines_all'!$V$843,14,FALSE)</f>
        <v>0.35127131999999994</v>
      </c>
      <c r="U128" s="78">
        <f>VLOOKUP($D128,Engines_all!$A$3:'Engines_all'!$V$843,15,FALSE)</f>
        <v>5.2691868077876826E-2</v>
      </c>
      <c r="V128" s="222">
        <f>VLOOKUP($D128,Engines_all!$A$3:'Engines_all'!$V$843,16,FALSE)</f>
        <v>3.1959375239747027E+17</v>
      </c>
      <c r="W128" s="77">
        <f t="shared" si="233"/>
        <v>7.9943999999999987E-2</v>
      </c>
      <c r="X128" s="78">
        <f>IF(E128="K",Q128*'Rest Calc'!B$16,Q128*'Rest Calc'!B$17)</f>
        <v>505.24607999999995</v>
      </c>
      <c r="Y128" s="76">
        <f>VLOOKUP($D128,Engines_all!$A$3:'Engines_all'!$V$843,17,FALSE)</f>
        <v>5340</v>
      </c>
      <c r="Z128" s="76">
        <f>VLOOKUP($D128,Engines_all!$A$3:'Engines_all'!$V$843,18,FALSE)</f>
        <v>24.937799999999999</v>
      </c>
      <c r="AA128" s="76">
        <f>VLOOKUP($D128,Engines_all!$A$3:'Engines_all'!$V$843,19,FALSE)</f>
        <v>5.9808000000000003</v>
      </c>
      <c r="AB128" s="76">
        <f>VLOOKUP($D128,Engines_all!$A$3:'Engines_all'!$V$843,20,FALSE)</f>
        <v>149.51999999999998</v>
      </c>
      <c r="AC128" s="76">
        <f>VLOOKUP($D128,Engines_all!$A$3:'Engines_all'!$V$843,21,FALSE)</f>
        <v>0.45528673675755937</v>
      </c>
      <c r="AD128" s="222">
        <f>VLOOKUP($D128,Engines_all!$A$3:'Engines_all'!$V$843,22,FALSE)</f>
        <v>7918737744463471</v>
      </c>
      <c r="AE128" s="80">
        <f t="shared" si="234"/>
        <v>2.67</v>
      </c>
      <c r="AF128" s="79">
        <f>IF(E128="K",Y128*'Rest Calc'!B$16,Y128*'Rest Calc'!B$17)</f>
        <v>16874.400000000001</v>
      </c>
      <c r="AG128" s="79">
        <f>IF(ALECA_Input!D$121="Standard",VLOOKUP($B128,$A$211:$J$218,6,FALSE),VLOOKUP($B128,$A$211:$J$218,10,FALSE))</f>
        <v>0</v>
      </c>
      <c r="AH128" s="163">
        <f t="shared" si="224"/>
        <v>112.80500000000001</v>
      </c>
      <c r="AI128" s="75">
        <v>5</v>
      </c>
      <c r="AJ128" s="74"/>
      <c r="AK128" s="74"/>
      <c r="AL128" s="74"/>
    </row>
    <row r="129" spans="1:38" x14ac:dyDescent="0.25">
      <c r="A129" s="74" t="s">
        <v>476</v>
      </c>
      <c r="B129" s="75" t="s">
        <v>396</v>
      </c>
      <c r="C129" s="74" t="s">
        <v>317</v>
      </c>
      <c r="D129" s="74" t="s">
        <v>684</v>
      </c>
      <c r="E129" s="75" t="s">
        <v>2936</v>
      </c>
      <c r="F129" s="136">
        <v>2</v>
      </c>
      <c r="G129" s="243">
        <f>VLOOKUP(D129,Engines_all!$A$3:$AZ$843,52,FALSE)</f>
        <v>65.61</v>
      </c>
      <c r="H129" s="74">
        <f>ALECA_Input!G92</f>
        <v>0</v>
      </c>
      <c r="I129" s="82">
        <f t="shared" si="225"/>
        <v>0</v>
      </c>
      <c r="J129" s="82">
        <f t="shared" si="226"/>
        <v>0</v>
      </c>
      <c r="K129" s="82">
        <f t="shared" si="227"/>
        <v>0</v>
      </c>
      <c r="L129" s="82">
        <f t="shared" si="228"/>
        <v>0</v>
      </c>
      <c r="M129" s="161">
        <f t="shared" si="229"/>
        <v>0</v>
      </c>
      <c r="N129" s="82">
        <f t="shared" si="230"/>
        <v>0</v>
      </c>
      <c r="O129" s="82">
        <f t="shared" si="231"/>
        <v>0</v>
      </c>
      <c r="P129" s="262">
        <f t="shared" si="232"/>
        <v>0</v>
      </c>
      <c r="Q129" s="76">
        <f>VLOOKUP($D129,Engines_all!$A$3:'Engines_all'!$V$843,11,FALSE)</f>
        <v>159.88799999999998</v>
      </c>
      <c r="R129" s="78">
        <f>VLOOKUP($D129,Engines_all!$A$3:'Engines_all'!$V$843,12,FALSE)</f>
        <v>2.13606264</v>
      </c>
      <c r="S129" s="78">
        <f>VLOOKUP($D129,Engines_all!$A$3:'Engines_all'!$V$843,13,FALSE)</f>
        <v>4.7385599999999993E-3</v>
      </c>
      <c r="T129" s="78">
        <f>VLOOKUP($D129,Engines_all!$A$3:'Engines_all'!$V$843,14,FALSE)</f>
        <v>0.35127131999999994</v>
      </c>
      <c r="U129" s="78">
        <f>VLOOKUP($D129,Engines_all!$A$3:'Engines_all'!$V$843,15,FALSE)</f>
        <v>5.2691868077876826E-2</v>
      </c>
      <c r="V129" s="222">
        <f>VLOOKUP($D129,Engines_all!$A$3:'Engines_all'!$V$843,16,FALSE)</f>
        <v>3.1959375239747027E+17</v>
      </c>
      <c r="W129" s="77">
        <f t="shared" si="233"/>
        <v>7.9943999999999987E-2</v>
      </c>
      <c r="X129" s="78">
        <f>IF(E129="K",Q129*'Rest Calc'!B$16,Q129*'Rest Calc'!B$17)</f>
        <v>505.24607999999995</v>
      </c>
      <c r="Y129" s="76">
        <f>VLOOKUP($D129,Engines_all!$A$3:'Engines_all'!$V$843,17,FALSE)</f>
        <v>5340</v>
      </c>
      <c r="Z129" s="76">
        <f>VLOOKUP($D129,Engines_all!$A$3:'Engines_all'!$V$843,18,FALSE)</f>
        <v>24.937799999999999</v>
      </c>
      <c r="AA129" s="76">
        <f>VLOOKUP($D129,Engines_all!$A$3:'Engines_all'!$V$843,19,FALSE)</f>
        <v>5.9808000000000003</v>
      </c>
      <c r="AB129" s="76">
        <f>VLOOKUP($D129,Engines_all!$A$3:'Engines_all'!$V$843,20,FALSE)</f>
        <v>149.51999999999998</v>
      </c>
      <c r="AC129" s="76">
        <f>VLOOKUP($D129,Engines_all!$A$3:'Engines_all'!$V$843,21,FALSE)</f>
        <v>0.45528673675755937</v>
      </c>
      <c r="AD129" s="222">
        <f>VLOOKUP($D129,Engines_all!$A$3:'Engines_all'!$V$843,22,FALSE)</f>
        <v>7918737744463471</v>
      </c>
      <c r="AE129" s="80">
        <f t="shared" si="234"/>
        <v>2.67</v>
      </c>
      <c r="AF129" s="79">
        <f>IF(E129="K",Y129*'Rest Calc'!B$16,Y129*'Rest Calc'!B$17)</f>
        <v>16874.400000000001</v>
      </c>
      <c r="AG129" s="79">
        <f>IF(ALECA_Input!D$121="Standard",VLOOKUP($B129,$A$211:$J$218,6,FALSE),VLOOKUP($B129,$A$211:$J$218,10,FALSE))</f>
        <v>0</v>
      </c>
      <c r="AH129" s="163">
        <f t="shared" si="224"/>
        <v>112.80500000000001</v>
      </c>
      <c r="AI129" s="75">
        <v>5</v>
      </c>
      <c r="AJ129" s="74"/>
      <c r="AK129" s="74"/>
      <c r="AL129" s="74"/>
    </row>
    <row r="130" spans="1:38" x14ac:dyDescent="0.25">
      <c r="A130" s="74" t="s">
        <v>477</v>
      </c>
      <c r="B130" s="75" t="s">
        <v>396</v>
      </c>
      <c r="C130" s="74" t="s">
        <v>315</v>
      </c>
      <c r="D130" s="74" t="s">
        <v>683</v>
      </c>
      <c r="E130" s="75" t="s">
        <v>2936</v>
      </c>
      <c r="F130" s="136">
        <v>2</v>
      </c>
      <c r="G130" s="243">
        <f>VLOOKUP(D130,Engines_all!$A$3:$AZ$843,52,FALSE)</f>
        <v>26.867000000000001</v>
      </c>
      <c r="H130" s="74">
        <f>ALECA_Input!G93</f>
        <v>0</v>
      </c>
      <c r="I130" s="82">
        <f t="shared" si="225"/>
        <v>0</v>
      </c>
      <c r="J130" s="82">
        <f t="shared" si="226"/>
        <v>0</v>
      </c>
      <c r="K130" s="82">
        <f t="shared" si="227"/>
        <v>0</v>
      </c>
      <c r="L130" s="82">
        <f t="shared" si="228"/>
        <v>0</v>
      </c>
      <c r="M130" s="161">
        <f t="shared" si="229"/>
        <v>0</v>
      </c>
      <c r="N130" s="82">
        <f t="shared" si="230"/>
        <v>0</v>
      </c>
      <c r="O130" s="82">
        <f t="shared" si="231"/>
        <v>0</v>
      </c>
      <c r="P130" s="262">
        <f t="shared" si="232"/>
        <v>0</v>
      </c>
      <c r="Q130" s="76">
        <f>VLOOKUP($D130,Engines_all!$A$3:'Engines_all'!$V$843,11,FALSE)</f>
        <v>71.555400000000006</v>
      </c>
      <c r="R130" s="78">
        <f>VLOOKUP($D130,Engines_all!$A$3:'Engines_all'!$V$843,12,FALSE)</f>
        <v>1.2163292880000001</v>
      </c>
      <c r="S130" s="78">
        <f>VLOOKUP($D130,Engines_all!$A$3:'Engines_all'!$V$843,13,FALSE)</f>
        <v>0</v>
      </c>
      <c r="T130" s="78">
        <f>VLOOKUP($D130,Engines_all!$A$3:'Engines_all'!$V$843,14,FALSE)</f>
        <v>0.28393728600000001</v>
      </c>
      <c r="U130" s="78">
        <f>VLOOKUP($D130,Engines_all!$A$3:'Engines_all'!$V$843,15,FALSE)</f>
        <v>1.1561119274962315E-2</v>
      </c>
      <c r="V130" s="222">
        <f>VLOOKUP($D130,Engines_all!$A$3:'Engines_all'!$V$843,16,FALSE)</f>
        <v>9.52717246745464E+16</v>
      </c>
      <c r="W130" s="77">
        <f t="shared" si="233"/>
        <v>3.5777700000000003E-2</v>
      </c>
      <c r="X130" s="78">
        <f>IF(E130="K",Q130*'Rest Calc'!B$16,Q130*'Rest Calc'!B$17)</f>
        <v>226.11506400000002</v>
      </c>
      <c r="Y130" s="76">
        <f>VLOOKUP($D130,Engines_all!$A$3:'Engines_all'!$V$843,17,FALSE)</f>
        <v>2532</v>
      </c>
      <c r="Z130" s="76">
        <f>VLOOKUP($D130,Engines_all!$A$3:'Engines_all'!$V$843,18,FALSE)</f>
        <v>10.78632</v>
      </c>
      <c r="AA130" s="76">
        <f>VLOOKUP($D130,Engines_all!$A$3:'Engines_all'!$V$843,19,FALSE)</f>
        <v>11.039520000000001</v>
      </c>
      <c r="AB130" s="76">
        <f>VLOOKUP($D130,Engines_all!$A$3:'Engines_all'!$V$843,20,FALSE)</f>
        <v>92.038200000000003</v>
      </c>
      <c r="AC130" s="76">
        <f>VLOOKUP($D130,Engines_all!$A$3:'Engines_all'!$V$843,21,FALSE)</f>
        <v>0.33128549578682298</v>
      </c>
      <c r="AD130" s="222">
        <f>VLOOKUP($D130,Engines_all!$A$3:'Engines_all'!$V$843,22,FALSE)</f>
        <v>7023931536240008</v>
      </c>
      <c r="AE130" s="80">
        <f t="shared" si="234"/>
        <v>1.266</v>
      </c>
      <c r="AF130" s="79">
        <f>IF(E130="K",Y130*'Rest Calc'!B$16,Y130*'Rest Calc'!B$17)</f>
        <v>8001.1200000000008</v>
      </c>
      <c r="AG130" s="79">
        <f>IF(ALECA_Input!D$121="Standard",VLOOKUP($B130,$A$211:$J$218,6,FALSE),VLOOKUP($B130,$A$211:$J$218,10,FALSE))</f>
        <v>0</v>
      </c>
      <c r="AH130" s="163">
        <f t="shared" si="224"/>
        <v>93.433499999999995</v>
      </c>
      <c r="AI130" s="75">
        <v>5</v>
      </c>
      <c r="AJ130" s="74"/>
      <c r="AK130" s="74"/>
      <c r="AL130" s="74"/>
    </row>
    <row r="131" spans="1:38" x14ac:dyDescent="0.25">
      <c r="A131" s="74" t="s">
        <v>3290</v>
      </c>
      <c r="B131" s="75" t="s">
        <v>396</v>
      </c>
      <c r="C131" s="74" t="s">
        <v>3291</v>
      </c>
      <c r="D131" s="74" t="s">
        <v>2262</v>
      </c>
      <c r="E131" s="75" t="s">
        <v>2936</v>
      </c>
      <c r="F131" s="136">
        <v>2</v>
      </c>
      <c r="G131" s="243">
        <f>VLOOKUP(D131,Engines_all!$A$3:$AZ$843,52,FALSE)</f>
        <v>61.6</v>
      </c>
      <c r="H131" s="74">
        <f>ALECA_Input!G94</f>
        <v>0</v>
      </c>
      <c r="I131" s="82">
        <f t="shared" si="225"/>
        <v>0</v>
      </c>
      <c r="J131" s="82">
        <f t="shared" si="226"/>
        <v>0</v>
      </c>
      <c r="K131" s="82">
        <f t="shared" si="227"/>
        <v>0</v>
      </c>
      <c r="L131" s="82">
        <f t="shared" si="228"/>
        <v>0</v>
      </c>
      <c r="M131" s="161">
        <f t="shared" si="229"/>
        <v>0</v>
      </c>
      <c r="N131" s="82">
        <f t="shared" si="230"/>
        <v>0</v>
      </c>
      <c r="O131" s="82">
        <f t="shared" si="231"/>
        <v>0</v>
      </c>
      <c r="P131" s="262">
        <f t="shared" si="232"/>
        <v>0</v>
      </c>
      <c r="Q131" s="76">
        <f>VLOOKUP($D131,Engines_all!$A$3:'Engines_all'!$V$843,11,FALSE)</f>
        <v>162.03</v>
      </c>
      <c r="R131" s="78">
        <f>VLOOKUP($D131,Engines_all!$A$3:'Engines_all'!$V$843,12,FALSE)</f>
        <v>2.0943557999999998</v>
      </c>
      <c r="S131" s="78">
        <f>VLOOKUP($D131,Engines_all!$A$3:'Engines_all'!$V$843,13,FALSE)</f>
        <v>3.8447460000000003E-2</v>
      </c>
      <c r="T131" s="78">
        <f>VLOOKUP($D131,Engines_all!$A$3:'Engines_all'!$V$843,14,FALSE)</f>
        <v>0.24021660000000003</v>
      </c>
      <c r="U131" s="78">
        <f>VLOOKUP($D131,Engines_all!$A$3:'Engines_all'!$V$843,15,FALSE)</f>
        <v>2.4028960146849729E-2</v>
      </c>
      <c r="V131" s="222">
        <f>VLOOKUP($D131,Engines_all!$A$3:'Engines_all'!$V$843,16,FALSE)</f>
        <v>1.2569184851235226E+17</v>
      </c>
      <c r="W131" s="77">
        <f t="shared" si="233"/>
        <v>8.1015000000000004E-2</v>
      </c>
      <c r="X131" s="78">
        <f>IF(E131="K",Q131*'Rest Calc'!B$16,Q131*'Rest Calc'!B$17)</f>
        <v>512.01480000000004</v>
      </c>
      <c r="Y131" s="76">
        <f>VLOOKUP($D131,Engines_all!$A$3:'Engines_all'!$V$843,17,FALSE)</f>
        <v>6119.9999999999991</v>
      </c>
      <c r="Z131" s="76">
        <f>VLOOKUP($D131,Engines_all!$A$3:'Engines_all'!$V$843,18,FALSE)</f>
        <v>15.483599999999997</v>
      </c>
      <c r="AA131" s="76">
        <f>VLOOKUP($D131,Engines_all!$A$3:'Engines_all'!$V$843,19,FALSE)</f>
        <v>9.1187999999999985</v>
      </c>
      <c r="AB131" s="76">
        <f>VLOOKUP($D131,Engines_all!$A$3:'Engines_all'!$V$843,20,FALSE)</f>
        <v>149.32799999999997</v>
      </c>
      <c r="AC131" s="76">
        <f>VLOOKUP($D131,Engines_all!$A$3:'Engines_all'!$V$843,21,FALSE)</f>
        <v>0.45898727710889969</v>
      </c>
      <c r="AD131" s="222">
        <f>VLOOKUP($D131,Engines_all!$A$3:'Engines_all'!$V$843,22,FALSE)</f>
        <v>5201616131119687</v>
      </c>
      <c r="AE131" s="80">
        <f t="shared" si="234"/>
        <v>3.0599999999999996</v>
      </c>
      <c r="AF131" s="79">
        <f>IF(E131="K",Y131*'Rest Calc'!B$16,Y131*'Rest Calc'!B$17)</f>
        <v>19339.199999999997</v>
      </c>
      <c r="AG131" s="79">
        <f>IF(ALECA_Input!D$121="Standard",VLOOKUP($B131,$A$211:$J$218,6,FALSE),VLOOKUP($B131,$A$211:$J$218,10,FALSE))</f>
        <v>0</v>
      </c>
      <c r="AH131" s="163">
        <f t="shared" si="224"/>
        <v>110.8</v>
      </c>
      <c r="AI131" s="75">
        <v>5</v>
      </c>
      <c r="AJ131" s="74"/>
      <c r="AK131" s="74"/>
      <c r="AL131" s="74"/>
    </row>
    <row r="132" spans="1:38" x14ac:dyDescent="0.25">
      <c r="A132" s="74" t="s">
        <v>478</v>
      </c>
      <c r="B132" s="75" t="s">
        <v>396</v>
      </c>
      <c r="C132" s="74" t="s">
        <v>2510</v>
      </c>
      <c r="D132" s="74" t="s">
        <v>2533</v>
      </c>
      <c r="E132" s="75" t="s">
        <v>2936</v>
      </c>
      <c r="F132" s="136">
        <v>2</v>
      </c>
      <c r="G132" s="243">
        <f>VLOOKUP(D132,Engines_all!$A$3:$AZ$843,52,FALSE)</f>
        <v>68.77</v>
      </c>
      <c r="H132" s="74">
        <f>ALECA_Input!G95</f>
        <v>0</v>
      </c>
      <c r="I132" s="82">
        <f t="shared" si="225"/>
        <v>0</v>
      </c>
      <c r="J132" s="82">
        <f t="shared" si="226"/>
        <v>0</v>
      </c>
      <c r="K132" s="82">
        <f t="shared" si="227"/>
        <v>0</v>
      </c>
      <c r="L132" s="82">
        <f t="shared" si="228"/>
        <v>0</v>
      </c>
      <c r="M132" s="161">
        <f t="shared" si="229"/>
        <v>0</v>
      </c>
      <c r="N132" s="82">
        <f t="shared" si="230"/>
        <v>0</v>
      </c>
      <c r="O132" s="82">
        <f t="shared" si="231"/>
        <v>0</v>
      </c>
      <c r="P132" s="262">
        <f t="shared" si="232"/>
        <v>0</v>
      </c>
      <c r="Q132" s="76">
        <f>VLOOKUP($D132,Engines_all!$A$3:'Engines_all'!$V$843,11,FALSE)</f>
        <v>164.41800000000001</v>
      </c>
      <c r="R132" s="78">
        <f>VLOOKUP($D132,Engines_all!$A$3:'Engines_all'!$V$843,12,FALSE)</f>
        <v>2.2669373999999998</v>
      </c>
      <c r="S132" s="78">
        <f>VLOOKUP($D132,Engines_all!$A$3:'Engines_all'!$V$843,13,FALSE)</f>
        <v>4.8363600000000005E-3</v>
      </c>
      <c r="T132" s="78">
        <f>VLOOKUP($D132,Engines_all!$A$3:'Engines_all'!$V$843,14,FALSE)</f>
        <v>0.36142943999999999</v>
      </c>
      <c r="U132" s="78">
        <f>VLOOKUP($D132,Engines_all!$A$3:'Engines_all'!$V$843,15,FALSE)</f>
        <v>5.5023843241768164E-2</v>
      </c>
      <c r="V132" s="222">
        <f>VLOOKUP($D132,Engines_all!$A$3:'Engines_all'!$V$843,16,FALSE)</f>
        <v>3.3516184733311418E+17</v>
      </c>
      <c r="W132" s="77">
        <f t="shared" si="233"/>
        <v>8.2209000000000004E-2</v>
      </c>
      <c r="X132" s="78">
        <f>IF(E132="K",Q132*'Rest Calc'!B$16,Q132*'Rest Calc'!B$17)</f>
        <v>519.56088</v>
      </c>
      <c r="Y132" s="76">
        <f>VLOOKUP($D132,Engines_all!$A$3:'Engines_all'!$V$843,17,FALSE)</f>
        <v>4980</v>
      </c>
      <c r="Z132" s="76">
        <f>VLOOKUP($D132,Engines_all!$A$3:'Engines_all'!$V$843,18,FALSE)</f>
        <v>22.410000000000004</v>
      </c>
      <c r="AA132" s="76">
        <f>VLOOKUP($D132,Engines_all!$A$3:'Engines_all'!$V$843,19,FALSE)</f>
        <v>11.404200000000001</v>
      </c>
      <c r="AB132" s="76">
        <f>VLOOKUP($D132,Engines_all!$A$3:'Engines_all'!$V$843,20,FALSE)</f>
        <v>157.21860000000001</v>
      </c>
      <c r="AC132" s="76">
        <f>VLOOKUP($D132,Engines_all!$A$3:'Engines_all'!$V$843,21,FALSE)</f>
        <v>0.440712013323662</v>
      </c>
      <c r="AD132" s="222">
        <f>VLOOKUP($D132,Engines_all!$A$3:'Engines_all'!$V$843,22,FALSE)</f>
        <v>6384249758650256</v>
      </c>
      <c r="AE132" s="80">
        <f t="shared" si="234"/>
        <v>2.4900000000000002</v>
      </c>
      <c r="AF132" s="79">
        <f>IF(E132="K",Y132*'Rest Calc'!B$16,Y132*'Rest Calc'!B$17)</f>
        <v>15736.800000000001</v>
      </c>
      <c r="AG132" s="79">
        <f>IF(ALECA_Input!D$121="Standard",VLOOKUP($B132,$A$211:$J$218,6,FALSE),VLOOKUP($B132,$A$211:$J$218,10,FALSE))</f>
        <v>0</v>
      </c>
      <c r="AH132" s="163">
        <f t="shared" si="224"/>
        <v>114.38499999999999</v>
      </c>
      <c r="AI132" s="75">
        <v>5</v>
      </c>
      <c r="AJ132" s="74"/>
      <c r="AK132" s="74"/>
      <c r="AL132" s="74"/>
    </row>
    <row r="133" spans="1:38" x14ac:dyDescent="0.25">
      <c r="A133" s="74" t="s">
        <v>3292</v>
      </c>
      <c r="B133" s="75" t="s">
        <v>396</v>
      </c>
      <c r="C133" s="74" t="s">
        <v>3293</v>
      </c>
      <c r="D133" s="74" t="s">
        <v>2537</v>
      </c>
      <c r="E133" s="75" t="s">
        <v>2936</v>
      </c>
      <c r="F133" s="136">
        <v>2</v>
      </c>
      <c r="G133" s="243">
        <f>VLOOKUP(D133,Engines_all!$A$3:$AZ$843,52,FALSE)</f>
        <v>75.7</v>
      </c>
      <c r="H133" s="74">
        <f>ALECA_Input!G96</f>
        <v>0</v>
      </c>
      <c r="I133" s="82">
        <f t="shared" si="225"/>
        <v>0</v>
      </c>
      <c r="J133" s="82">
        <f t="shared" si="226"/>
        <v>0</v>
      </c>
      <c r="K133" s="82">
        <f t="shared" si="227"/>
        <v>0</v>
      </c>
      <c r="L133" s="82">
        <f t="shared" si="228"/>
        <v>0</v>
      </c>
      <c r="M133" s="161">
        <f t="shared" si="229"/>
        <v>0</v>
      </c>
      <c r="N133" s="82">
        <f t="shared" si="230"/>
        <v>0</v>
      </c>
      <c r="O133" s="82">
        <f t="shared" si="231"/>
        <v>0</v>
      </c>
      <c r="P133" s="262">
        <f t="shared" si="232"/>
        <v>0</v>
      </c>
      <c r="Q133" s="76">
        <f>VLOOKUP($D133,Engines_all!$A$3:'Engines_all'!$V$843,11,FALSE)</f>
        <v>171.97800000000001</v>
      </c>
      <c r="R133" s="78">
        <f>VLOOKUP($D133,Engines_all!$A$3:'Engines_all'!$V$843,12,FALSE)</f>
        <v>2.1177933600000003</v>
      </c>
      <c r="S133" s="78">
        <f>VLOOKUP($D133,Engines_all!$A$3:'Engines_all'!$V$843,13,FALSE)</f>
        <v>0</v>
      </c>
      <c r="T133" s="78">
        <f>VLOOKUP($D133,Engines_all!$A$3:'Engines_all'!$V$843,14,FALSE)</f>
        <v>0.35523840000000001</v>
      </c>
      <c r="U133" s="78">
        <f>VLOOKUP($D133,Engines_all!$A$3:'Engines_all'!$V$843,15,FALSE)</f>
        <v>3.134517163260836E-2</v>
      </c>
      <c r="V133" s="222">
        <f>VLOOKUP($D133,Engines_all!$A$3:'Engines_all'!$V$843,16,FALSE)</f>
        <v>1.7751135967447213E+17</v>
      </c>
      <c r="W133" s="77">
        <f t="shared" si="233"/>
        <v>8.598900000000001E-2</v>
      </c>
      <c r="X133" s="78">
        <f>IF(E133="K",Q133*'Rest Calc'!B$16,Q133*'Rest Calc'!B$17)</f>
        <v>543.45048000000008</v>
      </c>
      <c r="Y133" s="76">
        <f>VLOOKUP($D133,Engines_all!$A$3:'Engines_all'!$V$843,17,FALSE)</f>
        <v>5100.0000000000009</v>
      </c>
      <c r="Z133" s="76">
        <f>VLOOKUP($D133,Engines_all!$A$3:'Engines_all'!$V$843,18,FALSE)</f>
        <v>17.238</v>
      </c>
      <c r="AA133" s="76">
        <f>VLOOKUP($D133,Engines_all!$A$3:'Engines_all'!$V$843,19,FALSE)</f>
        <v>15.3</v>
      </c>
      <c r="AB133" s="76">
        <f>VLOOKUP($D133,Engines_all!$A$3:'Engines_all'!$V$843,20,FALSE)</f>
        <v>213.69000000000003</v>
      </c>
      <c r="AC133" s="76">
        <f>VLOOKUP($D133,Engines_all!$A$3:'Engines_all'!$V$843,21,FALSE)</f>
        <v>0.44553045419883397</v>
      </c>
      <c r="AD133" s="222">
        <f>VLOOKUP($D133,Engines_all!$A$3:'Engines_all'!$V$843,22,FALSE)</f>
        <v>5118077355238889</v>
      </c>
      <c r="AE133" s="80">
        <f t="shared" si="234"/>
        <v>2.5500000000000007</v>
      </c>
      <c r="AF133" s="79">
        <f>IF(E133="K",Y133*'Rest Calc'!B$16,Y133*'Rest Calc'!B$17)</f>
        <v>16116.000000000004</v>
      </c>
      <c r="AG133" s="79">
        <f>IF(ALECA_Input!D$121="Standard",VLOOKUP($B133,$A$211:$J$218,6,FALSE),VLOOKUP($B133,$A$211:$J$218,10,FALSE))</f>
        <v>0</v>
      </c>
      <c r="AH133" s="163">
        <f t="shared" si="224"/>
        <v>117.85</v>
      </c>
      <c r="AI133" s="75">
        <v>5</v>
      </c>
      <c r="AJ133" s="74"/>
      <c r="AK133" s="74"/>
      <c r="AL133" s="74"/>
    </row>
    <row r="134" spans="1:38" x14ac:dyDescent="0.25">
      <c r="A134" s="74" t="s">
        <v>3294</v>
      </c>
      <c r="B134" s="75" t="s">
        <v>396</v>
      </c>
      <c r="C134" s="74" t="s">
        <v>2082</v>
      </c>
      <c r="D134" s="74" t="s">
        <v>3137</v>
      </c>
      <c r="E134" s="75" t="s">
        <v>2936</v>
      </c>
      <c r="F134" s="136">
        <v>2</v>
      </c>
      <c r="G134" s="243">
        <f>VLOOKUP(D134,Engines_all!$A$3:$AZ$843,52,FALSE)</f>
        <v>68.599999999999994</v>
      </c>
      <c r="H134" s="74">
        <f>ALECA_Input!G97</f>
        <v>0</v>
      </c>
      <c r="I134" s="82">
        <f t="shared" si="225"/>
        <v>0</v>
      </c>
      <c r="J134" s="82">
        <f t="shared" si="226"/>
        <v>0</v>
      </c>
      <c r="K134" s="82">
        <f t="shared" si="227"/>
        <v>0</v>
      </c>
      <c r="L134" s="82">
        <f t="shared" si="228"/>
        <v>0</v>
      </c>
      <c r="M134" s="161">
        <f t="shared" si="229"/>
        <v>0</v>
      </c>
      <c r="N134" s="82">
        <f t="shared" si="230"/>
        <v>0</v>
      </c>
      <c r="O134" s="82">
        <f t="shared" si="231"/>
        <v>0</v>
      </c>
      <c r="P134" s="262">
        <f t="shared" si="232"/>
        <v>0</v>
      </c>
      <c r="Q134" s="76">
        <f>VLOOKUP($D134,Engines_all!$A$3:'Engines_all'!$V$843,11,FALSE)</f>
        <v>147.04200000000003</v>
      </c>
      <c r="R134" s="78">
        <f>VLOOKUP($D134,Engines_all!$A$3:'Engines_all'!$V$843,12,FALSE)</f>
        <v>2.4852591600000005</v>
      </c>
      <c r="S134" s="78">
        <f>VLOOKUP($D134,Engines_all!$A$3:'Engines_all'!$V$843,13,FALSE)</f>
        <v>9.3119999999999997E-4</v>
      </c>
      <c r="T134" s="78">
        <f>VLOOKUP($D134,Engines_all!$A$3:'Engines_all'!$V$843,14,FALSE)</f>
        <v>8.1945599999999993E-2</v>
      </c>
      <c r="U134" s="78">
        <f>VLOOKUP($D134,Engines_all!$A$3:'Engines_all'!$V$843,15,FALSE)</f>
        <v>7.6886684393565868E-3</v>
      </c>
      <c r="V134" s="222">
        <f>VLOOKUP($D134,Engines_all!$A$3:'Engines_all'!$V$843,16,FALSE)</f>
        <v>1.3579730603791564E+16</v>
      </c>
      <c r="W134" s="77">
        <f t="shared" si="233"/>
        <v>7.3521000000000017E-2</v>
      </c>
      <c r="X134" s="78">
        <f>IF(E134="K",Q134*'Rest Calc'!B$16,Q134*'Rest Calc'!B$17)</f>
        <v>464.6527200000001</v>
      </c>
      <c r="Y134" s="76">
        <f>VLOOKUP($D134,Engines_all!$A$3:'Engines_all'!$V$843,17,FALSE)</f>
        <v>4200</v>
      </c>
      <c r="Z134" s="76">
        <f>VLOOKUP($D134,Engines_all!$A$3:'Engines_all'!$V$843,18,FALSE)</f>
        <v>26.25</v>
      </c>
      <c r="AA134" s="76">
        <f>VLOOKUP($D134,Engines_all!$A$3:'Engines_all'!$V$843,19,FALSE)</f>
        <v>0.21000000000000002</v>
      </c>
      <c r="AB134" s="76">
        <f>VLOOKUP($D134,Engines_all!$A$3:'Engines_all'!$V$843,20,FALSE)</f>
        <v>58.296000000000006</v>
      </c>
      <c r="AC134" s="76">
        <f>VLOOKUP($D134,Engines_all!$A$3:'Engines_all'!$V$843,21,FALSE)</f>
        <v>0.23251674055040908</v>
      </c>
      <c r="AD134" s="222">
        <f>VLOOKUP($D134,Engines_all!$A$3:'Engines_all'!$V$843,22,FALSE)</f>
        <v>1450115974807822</v>
      </c>
      <c r="AE134" s="80">
        <f t="shared" si="234"/>
        <v>2.1</v>
      </c>
      <c r="AF134" s="79">
        <f>IF(E134="K",Y134*'Rest Calc'!B$16,Y134*'Rest Calc'!B$17)</f>
        <v>13272</v>
      </c>
      <c r="AG134" s="79">
        <f>IF(ALECA_Input!D$121="Standard",VLOOKUP($B134,$A$211:$J$218,6,FALSE),VLOOKUP($B134,$A$211:$J$218,10,FALSE))</f>
        <v>0</v>
      </c>
      <c r="AH134" s="163">
        <f t="shared" si="224"/>
        <v>114.3</v>
      </c>
      <c r="AI134" s="75">
        <v>5</v>
      </c>
      <c r="AJ134" s="74"/>
      <c r="AK134" s="74"/>
      <c r="AL134" s="74"/>
    </row>
    <row r="135" spans="1:38" x14ac:dyDescent="0.25">
      <c r="A135" s="74" t="s">
        <v>479</v>
      </c>
      <c r="B135" s="75" t="s">
        <v>396</v>
      </c>
      <c r="C135" s="74" t="s">
        <v>318</v>
      </c>
      <c r="D135" s="74" t="s">
        <v>680</v>
      </c>
      <c r="E135" s="75" t="s">
        <v>2936</v>
      </c>
      <c r="F135" s="136">
        <v>2</v>
      </c>
      <c r="G135" s="243">
        <f>VLOOKUP(D135,Engines_all!$A$3:$AZ$843,52,FALSE)</f>
        <v>16.5</v>
      </c>
      <c r="H135" s="74">
        <f>ALECA_Input!G98</f>
        <v>0</v>
      </c>
      <c r="I135" s="82">
        <f t="shared" si="225"/>
        <v>0</v>
      </c>
      <c r="J135" s="82">
        <f t="shared" si="226"/>
        <v>0</v>
      </c>
      <c r="K135" s="82">
        <f t="shared" si="227"/>
        <v>0</v>
      </c>
      <c r="L135" s="82">
        <f t="shared" si="228"/>
        <v>0</v>
      </c>
      <c r="M135" s="161">
        <f t="shared" si="229"/>
        <v>0</v>
      </c>
      <c r="N135" s="82">
        <f t="shared" si="230"/>
        <v>0</v>
      </c>
      <c r="O135" s="82">
        <f t="shared" si="231"/>
        <v>0</v>
      </c>
      <c r="P135" s="262">
        <f t="shared" si="232"/>
        <v>0</v>
      </c>
      <c r="Q135" s="76">
        <f>VLOOKUP($D135,Engines_all!$A$3:'Engines_all'!$V$843,11,FALSE)</f>
        <v>17.891999999999999</v>
      </c>
      <c r="R135" s="78">
        <f>VLOOKUP($D135,Engines_all!$A$3:'Engines_all'!$V$843,12,FALSE)</f>
        <v>0.24063264000000001</v>
      </c>
      <c r="S135" s="78">
        <f>VLOOKUP($D135,Engines_all!$A$3:'Engines_all'!$V$843,13,FALSE)</f>
        <v>1.0482480000000001E-2</v>
      </c>
      <c r="T135" s="78">
        <f>VLOOKUP($D135,Engines_all!$A$3:'Engines_all'!$V$843,14,FALSE)</f>
        <v>0.12269231999999999</v>
      </c>
      <c r="U135" s="78">
        <f>VLOOKUP($D135,Engines_all!$A$3:'Engines_all'!$V$843,15,FALSE)</f>
        <v>7.1446600800000003E-3</v>
      </c>
      <c r="V135" s="222">
        <f>VLOOKUP($D135,Engines_all!$A$3:'Engines_all'!$V$843,16,FALSE)</f>
        <v>1.2780822756141443E+17</v>
      </c>
      <c r="W135" s="77">
        <f t="shared" si="233"/>
        <v>8.9459999999999991E-3</v>
      </c>
      <c r="X135" s="78">
        <f>IF(E135="K",Q135*'Rest Calc'!B$16,Q135*'Rest Calc'!B$17)</f>
        <v>56.538719999999998</v>
      </c>
      <c r="Y135" s="76">
        <f>VLOOKUP($D135,Engines_all!$A$3:'Engines_all'!$V$843,17,FALSE)</f>
        <v>1559.9999999999998</v>
      </c>
      <c r="Z135" s="76">
        <f>VLOOKUP($D135,Engines_all!$A$3:'Engines_all'!$V$843,18,FALSE)</f>
        <v>5.8031999999999995</v>
      </c>
      <c r="AA135" s="76">
        <f>VLOOKUP($D135,Engines_all!$A$3:'Engines_all'!$V$843,19,FALSE)</f>
        <v>14.102399999999999</v>
      </c>
      <c r="AB135" s="76">
        <f>VLOOKUP($D135,Engines_all!$A$3:'Engines_all'!$V$843,20,FALSE)</f>
        <v>74.411999999999992</v>
      </c>
      <c r="AC135" s="76">
        <f>VLOOKUP($D135,Engines_all!$A$3:'Engines_all'!$V$843,21,FALSE)</f>
        <v>0.37398940799999997</v>
      </c>
      <c r="AD135" s="222">
        <f>VLOOKUP($D135,Engines_all!$A$3:'Engines_all'!$V$843,22,FALSE)</f>
        <v>1.1934578934013426E+16</v>
      </c>
      <c r="AE135" s="80">
        <f t="shared" si="234"/>
        <v>0.77999999999999992</v>
      </c>
      <c r="AF135" s="79">
        <f>IF(E135="K",Y135*'Rest Calc'!B$16,Y135*'Rest Calc'!B$17)</f>
        <v>4929.5999999999995</v>
      </c>
      <c r="AG135" s="79">
        <f>IF(ALECA_Input!D$121="Standard",VLOOKUP($B135,$A$211:$J$218,6,FALSE),VLOOKUP($B135,$A$211:$J$218,10,FALSE))</f>
        <v>0</v>
      </c>
      <c r="AH135" s="163">
        <f t="shared" si="224"/>
        <v>88.25</v>
      </c>
      <c r="AI135" s="75">
        <v>5</v>
      </c>
      <c r="AJ135" s="74"/>
      <c r="AK135" s="74"/>
      <c r="AL135" s="74"/>
    </row>
    <row r="136" spans="1:38" x14ac:dyDescent="0.25">
      <c r="A136" s="74" t="s">
        <v>480</v>
      </c>
      <c r="B136" s="75" t="s">
        <v>396</v>
      </c>
      <c r="C136" s="74" t="s">
        <v>319</v>
      </c>
      <c r="D136" s="74" t="s">
        <v>685</v>
      </c>
      <c r="E136" s="75" t="s">
        <v>2936</v>
      </c>
      <c r="F136" s="136">
        <v>2</v>
      </c>
      <c r="G136" s="243">
        <f>VLOOKUP(D136,Engines_all!$A$3:$AZ$843,52,FALSE)</f>
        <v>30.71</v>
      </c>
      <c r="H136" s="74">
        <f>ALECA_Input!G99</f>
        <v>0</v>
      </c>
      <c r="I136" s="82">
        <f t="shared" si="225"/>
        <v>0</v>
      </c>
      <c r="J136" s="82">
        <f t="shared" si="226"/>
        <v>0</v>
      </c>
      <c r="K136" s="82">
        <f t="shared" si="227"/>
        <v>0</v>
      </c>
      <c r="L136" s="82">
        <f t="shared" si="228"/>
        <v>0</v>
      </c>
      <c r="M136" s="161">
        <f t="shared" si="229"/>
        <v>0</v>
      </c>
      <c r="N136" s="82">
        <f t="shared" si="230"/>
        <v>0</v>
      </c>
      <c r="O136" s="82">
        <f t="shared" si="231"/>
        <v>0</v>
      </c>
      <c r="P136" s="262">
        <f t="shared" si="232"/>
        <v>0</v>
      </c>
      <c r="Q136" s="76">
        <f>VLOOKUP($D136,Engines_all!$A$3:'Engines_all'!$V$843,11,FALSE)</f>
        <v>84.25800000000001</v>
      </c>
      <c r="R136" s="78">
        <f>VLOOKUP($D136,Engines_all!$A$3:'Engines_all'!$V$843,12,FALSE)</f>
        <v>1.0465049040000001</v>
      </c>
      <c r="S136" s="78">
        <f>VLOOKUP($D136,Engines_all!$A$3:'Engines_all'!$V$843,13,FALSE)</f>
        <v>5.9279999999999999E-4</v>
      </c>
      <c r="T136" s="78">
        <f>VLOOKUP($D136,Engines_all!$A$3:'Engines_all'!$V$843,14,FALSE)</f>
        <v>0.17534481600000001</v>
      </c>
      <c r="U136" s="78">
        <f>VLOOKUP($D136,Engines_all!$A$3:'Engines_all'!$V$843,15,FALSE)</f>
        <v>3.7627072544384361E-2</v>
      </c>
      <c r="V136" s="222">
        <f>VLOOKUP($D136,Engines_all!$A$3:'Engines_all'!$V$843,16,FALSE)</f>
        <v>6.1768973761454029E+17</v>
      </c>
      <c r="W136" s="77">
        <f t="shared" si="233"/>
        <v>4.2129000000000007E-2</v>
      </c>
      <c r="X136" s="78">
        <f>IF(E136="K",Q136*'Rest Calc'!B$16,Q136*'Rest Calc'!B$17)</f>
        <v>266.25528000000003</v>
      </c>
      <c r="Y136" s="76">
        <f>VLOOKUP($D136,Engines_all!$A$3:'Engines_all'!$V$843,17,FALSE)</f>
        <v>2670</v>
      </c>
      <c r="Z136" s="76">
        <f>VLOOKUP($D136,Engines_all!$A$3:'Engines_all'!$V$843,18,FALSE)</f>
        <v>9.7454999999999998</v>
      </c>
      <c r="AA136" s="76">
        <f>VLOOKUP($D136,Engines_all!$A$3:'Engines_all'!$V$843,19,FALSE)</f>
        <v>17.6754</v>
      </c>
      <c r="AB136" s="76">
        <f>VLOOKUP($D136,Engines_all!$A$3:'Engines_all'!$V$843,20,FALSE)</f>
        <v>102.02070000000001</v>
      </c>
      <c r="AC136" s="76">
        <f>VLOOKUP($D136,Engines_all!$A$3:'Engines_all'!$V$843,21,FALSE)</f>
        <v>1.2987238667113545</v>
      </c>
      <c r="AD136" s="222">
        <f>VLOOKUP($D136,Engines_all!$A$3:'Engines_all'!$V$843,22,FALSE)</f>
        <v>5.3431626953215424E+16</v>
      </c>
      <c r="AE136" s="80">
        <f t="shared" si="234"/>
        <v>1.335</v>
      </c>
      <c r="AF136" s="79">
        <f>IF(E136="K",Y136*'Rest Calc'!B$16,Y136*'Rest Calc'!B$17)</f>
        <v>8437.2000000000007</v>
      </c>
      <c r="AG136" s="79">
        <f>IF(ALECA_Input!D$121="Standard",VLOOKUP($B136,$A$211:$J$218,6,FALSE),VLOOKUP($B136,$A$211:$J$218,10,FALSE))</f>
        <v>0</v>
      </c>
      <c r="AH136" s="163">
        <f t="shared" si="224"/>
        <v>95.355000000000004</v>
      </c>
      <c r="AI136" s="75">
        <v>5</v>
      </c>
      <c r="AJ136" s="74"/>
      <c r="AK136" s="74"/>
      <c r="AL136" s="74"/>
    </row>
    <row r="137" spans="1:38" x14ac:dyDescent="0.25">
      <c r="A137" s="74" t="s">
        <v>481</v>
      </c>
      <c r="B137" s="75" t="s">
        <v>396</v>
      </c>
      <c r="C137" s="74" t="s">
        <v>320</v>
      </c>
      <c r="D137" s="74" t="s">
        <v>680</v>
      </c>
      <c r="E137" s="75" t="s">
        <v>2936</v>
      </c>
      <c r="F137" s="136">
        <v>2</v>
      </c>
      <c r="G137" s="243">
        <f>VLOOKUP(D137,Engines_all!$A$3:$AZ$843,52,FALSE)</f>
        <v>16.5</v>
      </c>
      <c r="H137" s="74">
        <f>ALECA_Input!G100</f>
        <v>0</v>
      </c>
      <c r="I137" s="82">
        <f t="shared" si="225"/>
        <v>0</v>
      </c>
      <c r="J137" s="82">
        <f t="shared" si="226"/>
        <v>0</v>
      </c>
      <c r="K137" s="82">
        <f t="shared" si="227"/>
        <v>0</v>
      </c>
      <c r="L137" s="82">
        <f t="shared" si="228"/>
        <v>0</v>
      </c>
      <c r="M137" s="161">
        <f t="shared" si="229"/>
        <v>0</v>
      </c>
      <c r="N137" s="82">
        <f t="shared" si="230"/>
        <v>0</v>
      </c>
      <c r="O137" s="82">
        <f t="shared" si="231"/>
        <v>0</v>
      </c>
      <c r="P137" s="262">
        <f t="shared" si="232"/>
        <v>0</v>
      </c>
      <c r="Q137" s="76">
        <f>VLOOKUP($D137,Engines_all!$A$3:'Engines_all'!$V$843,11,FALSE)</f>
        <v>17.891999999999999</v>
      </c>
      <c r="R137" s="78">
        <f>VLOOKUP($D137,Engines_all!$A$3:'Engines_all'!$V$843,12,FALSE)</f>
        <v>0.24063264000000001</v>
      </c>
      <c r="S137" s="78">
        <f>VLOOKUP($D137,Engines_all!$A$3:'Engines_all'!$V$843,13,FALSE)</f>
        <v>1.0482480000000001E-2</v>
      </c>
      <c r="T137" s="78">
        <f>VLOOKUP($D137,Engines_all!$A$3:'Engines_all'!$V$843,14,FALSE)</f>
        <v>0.12269231999999999</v>
      </c>
      <c r="U137" s="78">
        <f>VLOOKUP($D137,Engines_all!$A$3:'Engines_all'!$V$843,15,FALSE)</f>
        <v>7.1446600800000003E-3</v>
      </c>
      <c r="V137" s="222">
        <f>VLOOKUP($D137,Engines_all!$A$3:'Engines_all'!$V$843,16,FALSE)</f>
        <v>1.2780822756141443E+17</v>
      </c>
      <c r="W137" s="77">
        <f t="shared" si="233"/>
        <v>8.9459999999999991E-3</v>
      </c>
      <c r="X137" s="78">
        <f>IF(E137="K",Q137*'Rest Calc'!B$16,Q137*'Rest Calc'!B$17)</f>
        <v>56.538719999999998</v>
      </c>
      <c r="Y137" s="76">
        <f>VLOOKUP($D137,Engines_all!$A$3:'Engines_all'!$V$843,17,FALSE)</f>
        <v>1559.9999999999998</v>
      </c>
      <c r="Z137" s="76">
        <f>VLOOKUP($D137,Engines_all!$A$3:'Engines_all'!$V$843,18,FALSE)</f>
        <v>5.8031999999999995</v>
      </c>
      <c r="AA137" s="76">
        <f>VLOOKUP($D137,Engines_all!$A$3:'Engines_all'!$V$843,19,FALSE)</f>
        <v>14.102399999999999</v>
      </c>
      <c r="AB137" s="76">
        <f>VLOOKUP($D137,Engines_all!$A$3:'Engines_all'!$V$843,20,FALSE)</f>
        <v>74.411999999999992</v>
      </c>
      <c r="AC137" s="76">
        <f>VLOOKUP($D137,Engines_all!$A$3:'Engines_all'!$V$843,21,FALSE)</f>
        <v>0.37398940799999997</v>
      </c>
      <c r="AD137" s="222">
        <f>VLOOKUP($D137,Engines_all!$A$3:'Engines_all'!$V$843,22,FALSE)</f>
        <v>1.1934578934013426E+16</v>
      </c>
      <c r="AE137" s="80">
        <f t="shared" si="234"/>
        <v>0.77999999999999992</v>
      </c>
      <c r="AF137" s="79">
        <f>IF(E137="K",Y137*'Rest Calc'!B$16,Y137*'Rest Calc'!B$17)</f>
        <v>4929.5999999999995</v>
      </c>
      <c r="AG137" s="79">
        <f>IF(ALECA_Input!D$121="Standard",VLOOKUP($B137,$A$211:$J$218,6,FALSE),VLOOKUP($B137,$A$211:$J$218,10,FALSE))</f>
        <v>0</v>
      </c>
      <c r="AH137" s="163">
        <f t="shared" si="224"/>
        <v>88.25</v>
      </c>
      <c r="AI137" s="75">
        <v>5</v>
      </c>
      <c r="AJ137" s="74"/>
      <c r="AK137" s="74"/>
      <c r="AL137" s="74"/>
    </row>
    <row r="138" spans="1:38" x14ac:dyDescent="0.25">
      <c r="A138" s="74" t="s">
        <v>482</v>
      </c>
      <c r="B138" s="75" t="s">
        <v>383</v>
      </c>
      <c r="C138" s="74" t="s">
        <v>321</v>
      </c>
      <c r="D138" s="74" t="s">
        <v>686</v>
      </c>
      <c r="E138" s="75" t="s">
        <v>2936</v>
      </c>
      <c r="F138" s="136">
        <v>4</v>
      </c>
      <c r="G138" s="243">
        <f>VLOOKUP(D138,Engines_all!$A$3:$AZ$843,52,FALSE)</f>
        <v>156.9</v>
      </c>
      <c r="H138" s="74">
        <f>ALECA_Input!C29</f>
        <v>0</v>
      </c>
      <c r="I138" s="82">
        <f t="shared" si="225"/>
        <v>0</v>
      </c>
      <c r="J138" s="82">
        <f t="shared" si="226"/>
        <v>0</v>
      </c>
      <c r="K138" s="82">
        <f t="shared" si="227"/>
        <v>0</v>
      </c>
      <c r="L138" s="82">
        <f t="shared" si="228"/>
        <v>0</v>
      </c>
      <c r="M138" s="161">
        <f t="shared" si="229"/>
        <v>0</v>
      </c>
      <c r="N138" s="82">
        <f t="shared" si="230"/>
        <v>0</v>
      </c>
      <c r="O138" s="82">
        <f t="shared" si="231"/>
        <v>0</v>
      </c>
      <c r="P138" s="262">
        <f t="shared" si="232"/>
        <v>0</v>
      </c>
      <c r="Q138" s="76">
        <f>VLOOKUP($D138,Engines_all!$A$3:'Engines_all'!$V$843,11,FALSE)</f>
        <v>379.29</v>
      </c>
      <c r="R138" s="78">
        <f>VLOOKUP($D138,Engines_all!$A$3:'Engines_all'!$V$843,12,FALSE)</f>
        <v>10.037352</v>
      </c>
      <c r="S138" s="78">
        <f>VLOOKUP($D138,Engines_all!$A$3:'Engines_all'!$V$843,13,FALSE)</f>
        <v>5.4903600000000004E-2</v>
      </c>
      <c r="T138" s="78">
        <f>VLOOKUP($D138,Engines_all!$A$3:'Engines_all'!$V$843,14,FALSE)</f>
        <v>0.20674410000000001</v>
      </c>
      <c r="U138" s="78">
        <f>VLOOKUP($D138,Engines_all!$A$3:'Engines_all'!$V$843,15,FALSE)</f>
        <v>5.7395067313843154E-2</v>
      </c>
      <c r="V138" s="222">
        <f>VLOOKUP($D138,Engines_all!$A$3:'Engines_all'!$V$843,16,FALSE)</f>
        <v>8.0449361948202253E+17</v>
      </c>
      <c r="W138" s="77">
        <f t="shared" si="233"/>
        <v>0.18964500000000001</v>
      </c>
      <c r="X138" s="78">
        <f>IF(E138="K",Q138*'Rest Calc'!B$16,Q138*'Rest Calc'!B$17)</f>
        <v>1198.5564000000002</v>
      </c>
      <c r="Y138" s="76">
        <f>VLOOKUP($D138,Engines_all!$A$3:'Engines_all'!$V$843,17,FALSE)</f>
        <v>10680</v>
      </c>
      <c r="Z138" s="76">
        <f>VLOOKUP($D138,Engines_all!$A$3:'Engines_all'!$V$843,18,FALSE)</f>
        <v>61.943999999999996</v>
      </c>
      <c r="AA138" s="76">
        <f>VLOOKUP($D138,Engines_all!$A$3:'Engines_all'!$V$843,19,FALSE)</f>
        <v>3.2039999999999997</v>
      </c>
      <c r="AB138" s="76">
        <f>VLOOKUP($D138,Engines_all!$A$3:'Engines_all'!$V$843,20,FALSE)</f>
        <v>73.692000000000007</v>
      </c>
      <c r="AC138" s="76">
        <f>VLOOKUP($D138,Engines_all!$A$3:'Engines_all'!$V$843,21,FALSE)</f>
        <v>1.2336771485344002</v>
      </c>
      <c r="AD138" s="222">
        <f>VLOOKUP($D138,Engines_all!$A$3:'Engines_all'!$V$843,22,FALSE)</f>
        <v>3.486691519257984E+16</v>
      </c>
      <c r="AE138" s="80">
        <f t="shared" si="234"/>
        <v>5.34</v>
      </c>
      <c r="AF138" s="79">
        <f>IF(E138="K",Y138*'Rest Calc'!B$16,Y138*'Rest Calc'!B$17)</f>
        <v>33748.800000000003</v>
      </c>
      <c r="AG138" s="79">
        <f>IF(ALECA_Input!D$121="Standard",VLOOKUP($B138,$A$211:$J$218,6,FALSE),VLOOKUP($B138,$A$211:$J$218,10,FALSE))</f>
        <v>0</v>
      </c>
      <c r="AH138" s="163">
        <f t="shared" si="224"/>
        <v>158.44999999999999</v>
      </c>
      <c r="AI138" s="75">
        <v>1</v>
      </c>
      <c r="AJ138" s="74"/>
      <c r="AK138" s="74"/>
      <c r="AL138" s="74"/>
    </row>
    <row r="139" spans="1:38" x14ac:dyDescent="0.25">
      <c r="A139" s="74" t="s">
        <v>483</v>
      </c>
      <c r="B139" s="75" t="s">
        <v>396</v>
      </c>
      <c r="C139" s="74" t="s">
        <v>3248</v>
      </c>
      <c r="D139" s="74" t="s">
        <v>687</v>
      </c>
      <c r="E139" s="75" t="s">
        <v>2936</v>
      </c>
      <c r="F139" s="136">
        <v>2</v>
      </c>
      <c r="G139" s="243">
        <f>VLOOKUP(D139,Engines_all!$A$3:$AZ$843,52,FALSE)</f>
        <v>15.6</v>
      </c>
      <c r="H139" s="74">
        <f>ALECA_Input!G101</f>
        <v>0</v>
      </c>
      <c r="I139" s="82">
        <f t="shared" si="225"/>
        <v>0</v>
      </c>
      <c r="J139" s="82">
        <f t="shared" si="226"/>
        <v>0</v>
      </c>
      <c r="K139" s="82">
        <f t="shared" si="227"/>
        <v>0</v>
      </c>
      <c r="L139" s="82">
        <f t="shared" si="228"/>
        <v>0</v>
      </c>
      <c r="M139" s="161">
        <f t="shared" si="229"/>
        <v>0</v>
      </c>
      <c r="N139" s="82">
        <f t="shared" si="230"/>
        <v>0</v>
      </c>
      <c r="O139" s="82">
        <f t="shared" si="231"/>
        <v>0</v>
      </c>
      <c r="P139" s="262">
        <f t="shared" si="232"/>
        <v>0</v>
      </c>
      <c r="Q139" s="76">
        <f>VLOOKUP($D139,Engines_all!$A$3:'Engines_all'!$V$843,11,FALSE)</f>
        <v>16.542000000000002</v>
      </c>
      <c r="R139" s="78">
        <f>VLOOKUP($D139,Engines_all!$A$3:'Engines_all'!$V$843,12,FALSE)</f>
        <v>0.18086400000000002</v>
      </c>
      <c r="S139" s="78">
        <f>VLOOKUP($D139,Engines_all!$A$3:'Engines_all'!$V$843,13,FALSE)</f>
        <v>2.8625520000000005E-2</v>
      </c>
      <c r="T139" s="78">
        <f>VLOOKUP($D139,Engines_all!$A$3:'Engines_all'!$V$843,14,FALSE)</f>
        <v>0.16132266000000003</v>
      </c>
      <c r="U139" s="78">
        <f>VLOOKUP($D139,Engines_all!$A$3:'Engines_all'!$V$843,15,FALSE)</f>
        <v>7.5708578400000004E-3</v>
      </c>
      <c r="V139" s="222">
        <f>VLOOKUP($D139,Engines_all!$A$3:'Engines_all'!$V$843,16,FALSE)</f>
        <v>1.1781154477626035E+17</v>
      </c>
      <c r="W139" s="77">
        <f t="shared" si="233"/>
        <v>8.2710000000000006E-3</v>
      </c>
      <c r="X139" s="78">
        <f>IF(E139="K",Q139*'Rest Calc'!B$16,Q139*'Rest Calc'!B$17)</f>
        <v>52.272720000000007</v>
      </c>
      <c r="Y139" s="76">
        <f>VLOOKUP($D139,Engines_all!$A$3:'Engines_all'!$V$843,17,FALSE)</f>
        <v>1440</v>
      </c>
      <c r="Z139" s="76">
        <f>VLOOKUP($D139,Engines_all!$A$3:'Engines_all'!$V$843,18,FALSE)</f>
        <v>4.0607999999999995</v>
      </c>
      <c r="AA139" s="76">
        <f>VLOOKUP($D139,Engines_all!$A$3:'Engines_all'!$V$843,19,FALSE)</f>
        <v>28.857599999999998</v>
      </c>
      <c r="AB139" s="76">
        <f>VLOOKUP($D139,Engines_all!$A$3:'Engines_all'!$V$843,20,FALSE)</f>
        <v>84.384</v>
      </c>
      <c r="AC139" s="76">
        <f>VLOOKUP($D139,Engines_all!$A$3:'Engines_all'!$V$843,21,FALSE)</f>
        <v>0.44295379200000001</v>
      </c>
      <c r="AD139" s="222">
        <f>VLOOKUP($D139,Engines_all!$A$3:'Engines_all'!$V$843,22,FALSE)</f>
        <v>1.1016534400627778E+16</v>
      </c>
      <c r="AE139" s="80">
        <f t="shared" si="234"/>
        <v>0.72</v>
      </c>
      <c r="AF139" s="79">
        <f>IF(E139="K",Y139*'Rest Calc'!B$16,Y139*'Rest Calc'!B$17)</f>
        <v>4550.4000000000005</v>
      </c>
      <c r="AG139" s="79">
        <f>IF(ALECA_Input!D$121="Standard",VLOOKUP($B139,$A$211:$J$218,6,FALSE),VLOOKUP($B139,$A$211:$J$218,10,FALSE))</f>
        <v>0</v>
      </c>
      <c r="AH139" s="163">
        <f t="shared" si="224"/>
        <v>87.8</v>
      </c>
      <c r="AI139" s="75">
        <v>5</v>
      </c>
      <c r="AJ139" s="74"/>
      <c r="AK139" s="74"/>
      <c r="AL139" s="74"/>
    </row>
    <row r="140" spans="1:38" x14ac:dyDescent="0.25">
      <c r="A140" s="74" t="s">
        <v>484</v>
      </c>
      <c r="B140" s="75" t="s">
        <v>396</v>
      </c>
      <c r="C140" s="74" t="s">
        <v>322</v>
      </c>
      <c r="D140" s="74" t="s">
        <v>763</v>
      </c>
      <c r="E140" s="75" t="s">
        <v>2936</v>
      </c>
      <c r="F140" s="136">
        <v>2</v>
      </c>
      <c r="G140" s="243">
        <f>VLOOKUP(D140,Engines_all!$A$3:$AZ$843,52,FALSE)</f>
        <v>23.2</v>
      </c>
      <c r="H140" s="74">
        <f>ALECA_Input!G102</f>
        <v>0</v>
      </c>
      <c r="I140" s="82">
        <f t="shared" si="225"/>
        <v>0</v>
      </c>
      <c r="J140" s="82">
        <f t="shared" si="226"/>
        <v>0</v>
      </c>
      <c r="K140" s="82">
        <f t="shared" si="227"/>
        <v>0</v>
      </c>
      <c r="L140" s="82">
        <f t="shared" si="228"/>
        <v>0</v>
      </c>
      <c r="M140" s="161">
        <f t="shared" si="229"/>
        <v>0</v>
      </c>
      <c r="N140" s="82">
        <f t="shared" si="230"/>
        <v>0</v>
      </c>
      <c r="O140" s="82">
        <f t="shared" si="231"/>
        <v>0</v>
      </c>
      <c r="P140" s="262">
        <f t="shared" si="232"/>
        <v>0</v>
      </c>
      <c r="Q140" s="76">
        <f>VLOOKUP($D140,Engines_all!$A$3:'Engines_all'!$V$843,11,FALSE)</f>
        <v>20.484000000000002</v>
      </c>
      <c r="R140" s="78">
        <f>VLOOKUP($D140,Engines_all!$A$3:'Engines_all'!$V$843,12,FALSE)</f>
        <v>0.25403484000000004</v>
      </c>
      <c r="S140" s="78">
        <f>VLOOKUP($D140,Engines_all!$A$3:'Engines_all'!$V$843,13,FALSE)</f>
        <v>4.5301200000000003E-3</v>
      </c>
      <c r="T140" s="78">
        <f>VLOOKUP($D140,Engines_all!$A$3:'Engines_all'!$V$843,14,FALSE)</f>
        <v>0.11369820000000001</v>
      </c>
      <c r="U140" s="78">
        <f>VLOOKUP($D140,Engines_all!$A$3:'Engines_all'!$V$843,15,FALSE)</f>
        <v>8.8690826399999995E-3</v>
      </c>
      <c r="V140" s="222">
        <f>VLOOKUP($D140,Engines_all!$A$3:'Engines_all'!$V$843,16,FALSE)</f>
        <v>1.7179244382690816E+17</v>
      </c>
      <c r="W140" s="77">
        <f t="shared" si="233"/>
        <v>1.0242000000000001E-2</v>
      </c>
      <c r="X140" s="78">
        <f>IF(E140="K",Q140*'Rest Calc'!B$16,Q140*'Rest Calc'!B$17)</f>
        <v>64.729440000000011</v>
      </c>
      <c r="Y140" s="76">
        <f>VLOOKUP($D140,Engines_all!$A$3:'Engines_all'!$V$843,17,FALSE)</f>
        <v>2040</v>
      </c>
      <c r="Z140" s="76">
        <f>VLOOKUP($D140,Engines_all!$A$3:'Engines_all'!$V$843,18,FALSE)</f>
        <v>8.8740000000000006</v>
      </c>
      <c r="AA140" s="76">
        <f>VLOOKUP($D140,Engines_all!$A$3:'Engines_all'!$V$843,19,FALSE)</f>
        <v>10.546799999999999</v>
      </c>
      <c r="AB140" s="76">
        <f>VLOOKUP($D140,Engines_all!$A$3:'Engines_all'!$V$843,20,FALSE)</f>
        <v>92.575200000000009</v>
      </c>
      <c r="AC140" s="76">
        <f>VLOOKUP($D140,Engines_all!$A$3:'Engines_all'!$V$843,21,FALSE)</f>
        <v>0.50155215600000003</v>
      </c>
      <c r="AD140" s="222">
        <f>VLOOKUP($D140,Engines_all!$A$3:'Engines_all'!$V$843,22,FALSE)</f>
        <v>1.9074925304790696E+16</v>
      </c>
      <c r="AE140" s="80">
        <f t="shared" si="234"/>
        <v>1.02</v>
      </c>
      <c r="AF140" s="79">
        <f>IF(E140="K",Y140*'Rest Calc'!B$16,Y140*'Rest Calc'!B$17)</f>
        <v>6446.4000000000005</v>
      </c>
      <c r="AG140" s="79">
        <f>IF(ALECA_Input!D$121="Standard",VLOOKUP($B140,$A$211:$J$218,6,FALSE),VLOOKUP($B140,$A$211:$J$218,10,FALSE))</f>
        <v>0</v>
      </c>
      <c r="AH140" s="163">
        <f t="shared" si="224"/>
        <v>91.6</v>
      </c>
      <c r="AI140" s="75">
        <v>5</v>
      </c>
      <c r="AJ140" s="74"/>
      <c r="AK140" s="74"/>
      <c r="AL140" s="74"/>
    </row>
    <row r="141" spans="1:38" x14ac:dyDescent="0.25">
      <c r="A141" s="74" t="s">
        <v>485</v>
      </c>
      <c r="B141" s="75" t="s">
        <v>393</v>
      </c>
      <c r="C141" s="74" t="s">
        <v>324</v>
      </c>
      <c r="D141" s="74" t="s">
        <v>688</v>
      </c>
      <c r="E141" s="75" t="s">
        <v>2936</v>
      </c>
      <c r="F141" s="136">
        <v>3</v>
      </c>
      <c r="G141" s="243">
        <f>VLOOKUP(D141,Engines_all!$A$3:$AZ$843,52,FALSE)</f>
        <v>266.89999999999998</v>
      </c>
      <c r="H141" s="74">
        <f>ALECA_Input!C39</f>
        <v>0</v>
      </c>
      <c r="I141" s="82">
        <f t="shared" si="225"/>
        <v>0</v>
      </c>
      <c r="J141" s="82">
        <f t="shared" si="226"/>
        <v>0</v>
      </c>
      <c r="K141" s="82">
        <f t="shared" si="227"/>
        <v>0</v>
      </c>
      <c r="L141" s="82">
        <f t="shared" si="228"/>
        <v>0</v>
      </c>
      <c r="M141" s="161">
        <f t="shared" si="229"/>
        <v>0</v>
      </c>
      <c r="N141" s="82">
        <f t="shared" si="230"/>
        <v>0</v>
      </c>
      <c r="O141" s="82">
        <f t="shared" si="231"/>
        <v>0</v>
      </c>
      <c r="P141" s="262">
        <f t="shared" si="232"/>
        <v>0</v>
      </c>
      <c r="Q141" s="76">
        <f>VLOOKUP($D141,Engines_all!$A$3:'Engines_all'!$V$843,11,FALSE)</f>
        <v>555.11400000000003</v>
      </c>
      <c r="R141" s="78">
        <f>VLOOKUP($D141,Engines_all!$A$3:'Engines_all'!$V$843,12,FALSE)</f>
        <v>12.469081199999998</v>
      </c>
      <c r="S141" s="78">
        <f>VLOOKUP($D141,Engines_all!$A$3:'Engines_all'!$V$843,13,FALSE)</f>
        <v>4.2994800000000007E-2</v>
      </c>
      <c r="T141" s="78">
        <f>VLOOKUP($D141,Engines_all!$A$3:'Engines_all'!$V$843,14,FALSE)</f>
        <v>0.48181817999999998</v>
      </c>
      <c r="U141" s="78">
        <f>VLOOKUP($D141,Engines_all!$A$3:'Engines_all'!$V$843,15,FALSE)</f>
        <v>5.5630000166596076E-2</v>
      </c>
      <c r="V141" s="222">
        <f>VLOOKUP($D141,Engines_all!$A$3:'Engines_all'!$V$843,16,FALSE)</f>
        <v>3.3488597054422733E+17</v>
      </c>
      <c r="W141" s="77">
        <f t="shared" si="233"/>
        <v>0.277557</v>
      </c>
      <c r="X141" s="78">
        <f>IF(E141="K",Q141*'Rest Calc'!B$16,Q141*'Rest Calc'!B$17)</f>
        <v>1754.1602400000002</v>
      </c>
      <c r="Y141" s="76">
        <f>VLOOKUP($D141,Engines_all!$A$3:'Engines_all'!$V$843,17,FALSE)</f>
        <v>12780</v>
      </c>
      <c r="Z141" s="76">
        <f>VLOOKUP($D141,Engines_all!$A$3:'Engines_all'!$V$843,18,FALSE)</f>
        <v>62.622</v>
      </c>
      <c r="AA141" s="76">
        <f>VLOOKUP($D141,Engines_all!$A$3:'Engines_all'!$V$843,19,FALSE)</f>
        <v>21.2148</v>
      </c>
      <c r="AB141" s="76">
        <f>VLOOKUP($D141,Engines_all!$A$3:'Engines_all'!$V$843,20,FALSE)</f>
        <v>259.68959999999998</v>
      </c>
      <c r="AC141" s="76">
        <f>VLOOKUP($D141,Engines_all!$A$3:'Engines_all'!$V$843,21,FALSE)</f>
        <v>1.140895563777228</v>
      </c>
      <c r="AD141" s="222">
        <f>VLOOKUP($D141,Engines_all!$A$3:'Engines_all'!$V$843,22,FALSE)</f>
        <v>1.9390381331440544E+16</v>
      </c>
      <c r="AE141" s="80">
        <f t="shared" si="234"/>
        <v>6.3900000000000006</v>
      </c>
      <c r="AF141" s="79">
        <f>IF(E141="K",Y141*'Rest Calc'!B$16,Y141*'Rest Calc'!B$17)</f>
        <v>40384.800000000003</v>
      </c>
      <c r="AG141" s="79">
        <f>IF(ALECA_Input!D$121="Standard",VLOOKUP($B141,$A$211:$J$218,6,FALSE),VLOOKUP($B141,$A$211:$J$218,10,FALSE))</f>
        <v>0</v>
      </c>
      <c r="AH141" s="163">
        <f t="shared" si="224"/>
        <v>213.45</v>
      </c>
      <c r="AI141" s="75">
        <v>2</v>
      </c>
      <c r="AJ141" s="74"/>
      <c r="AK141" s="74"/>
      <c r="AL141" s="74"/>
    </row>
    <row r="142" spans="1:38" x14ac:dyDescent="0.25">
      <c r="A142" s="74" t="s">
        <v>486</v>
      </c>
      <c r="B142" s="75" t="s">
        <v>394</v>
      </c>
      <c r="C142" s="74" t="s">
        <v>325</v>
      </c>
      <c r="D142" s="74" t="s">
        <v>689</v>
      </c>
      <c r="E142" s="75" t="s">
        <v>2936</v>
      </c>
      <c r="F142" s="136">
        <v>2</v>
      </c>
      <c r="G142" s="243">
        <f>VLOOKUP(D142,Engines_all!$A$3:$AZ$843,52,FALSE)</f>
        <v>96.52</v>
      </c>
      <c r="H142" s="74">
        <f>ALECA_Input!C59</f>
        <v>0</v>
      </c>
      <c r="I142" s="82">
        <f t="shared" si="225"/>
        <v>0</v>
      </c>
      <c r="J142" s="82">
        <f t="shared" si="226"/>
        <v>0</v>
      </c>
      <c r="K142" s="82">
        <f t="shared" si="227"/>
        <v>0</v>
      </c>
      <c r="L142" s="82">
        <f t="shared" si="228"/>
        <v>0</v>
      </c>
      <c r="M142" s="161">
        <f t="shared" si="229"/>
        <v>0</v>
      </c>
      <c r="N142" s="82">
        <f t="shared" si="230"/>
        <v>0</v>
      </c>
      <c r="O142" s="82">
        <f t="shared" si="231"/>
        <v>0</v>
      </c>
      <c r="P142" s="262">
        <f t="shared" si="232"/>
        <v>0</v>
      </c>
      <c r="Q142" s="76">
        <f>VLOOKUP($D142,Engines_all!$A$3:'Engines_all'!$V$843,11,FALSE)</f>
        <v>291.69599999999997</v>
      </c>
      <c r="R142" s="78">
        <f>VLOOKUP($D142,Engines_all!$A$3:'Engines_all'!$V$843,12,FALSE)</f>
        <v>3.7317807599999995</v>
      </c>
      <c r="S142" s="78">
        <f>VLOOKUP($D142,Engines_all!$A$3:'Engines_all'!$V$843,13,FALSE)</f>
        <v>0</v>
      </c>
      <c r="T142" s="78">
        <f>VLOOKUP($D142,Engines_all!$A$3:'Engines_all'!$V$843,14,FALSE)</f>
        <v>0.41680631999999995</v>
      </c>
      <c r="U142" s="78">
        <f>VLOOKUP($D142,Engines_all!$A$3:'Engines_all'!$V$843,15,FALSE)</f>
        <v>3.8084450961870742E-2</v>
      </c>
      <c r="V142" s="222">
        <f>VLOOKUP($D142,Engines_all!$A$3:'Engines_all'!$V$843,16,FALSE)</f>
        <v>2.6535417046821677E+17</v>
      </c>
      <c r="W142" s="77">
        <f t="shared" si="233"/>
        <v>0.14584799999999998</v>
      </c>
      <c r="X142" s="78">
        <f>IF(E142="K",Q142*'Rest Calc'!B$16,Q142*'Rest Calc'!B$17)</f>
        <v>921.7593599999999</v>
      </c>
      <c r="Y142" s="76">
        <f>VLOOKUP($D142,Engines_all!$A$3:'Engines_all'!$V$843,17,FALSE)</f>
        <v>8064</v>
      </c>
      <c r="Z142" s="76">
        <f>VLOOKUP($D142,Engines_all!$A$3:'Engines_all'!$V$843,18,FALSE)</f>
        <v>33.546240000000004</v>
      </c>
      <c r="AA142" s="76">
        <f>VLOOKUP($D142,Engines_all!$A$3:'Engines_all'!$V$843,19,FALSE)</f>
        <v>0</v>
      </c>
      <c r="AB142" s="76">
        <f>VLOOKUP($D142,Engines_all!$A$3:'Engines_all'!$V$843,20,FALSE)</f>
        <v>138.62016</v>
      </c>
      <c r="AC142" s="76">
        <f>VLOOKUP($D142,Engines_all!$A$3:'Engines_all'!$V$843,21,FALSE)</f>
        <v>0.46796443205353422</v>
      </c>
      <c r="AD142" s="222">
        <f>VLOOKUP($D142,Engines_all!$A$3:'Engines_all'!$V$843,22,FALSE)</f>
        <v>3691015344982280</v>
      </c>
      <c r="AE142" s="80">
        <f t="shared" si="234"/>
        <v>4.032</v>
      </c>
      <c r="AF142" s="79">
        <f>IF(E142="K",Y142*'Rest Calc'!B$16,Y142*'Rest Calc'!B$17)</f>
        <v>25482.240000000002</v>
      </c>
      <c r="AG142" s="79">
        <f>IF(ALECA_Input!D$121="Standard",VLOOKUP($B142,$A$211:$J$218,6,FALSE),VLOOKUP($B142,$A$211:$J$218,10,FALSE))</f>
        <v>0</v>
      </c>
      <c r="AH142" s="163">
        <f t="shared" si="224"/>
        <v>128.26</v>
      </c>
      <c r="AI142" s="75">
        <v>3</v>
      </c>
      <c r="AJ142" s="74"/>
      <c r="AK142" s="74"/>
      <c r="AL142" s="74"/>
    </row>
    <row r="143" spans="1:38" x14ac:dyDescent="0.25">
      <c r="A143" s="74" t="s">
        <v>487</v>
      </c>
      <c r="B143" s="75" t="s">
        <v>394</v>
      </c>
      <c r="C143" s="74" t="s">
        <v>326</v>
      </c>
      <c r="D143" s="74" t="s">
        <v>690</v>
      </c>
      <c r="E143" s="75" t="s">
        <v>2936</v>
      </c>
      <c r="F143" s="136">
        <v>2</v>
      </c>
      <c r="G143" s="243">
        <f>VLOOKUP(D143,Engines_all!$A$3:$AZ$843,52,FALSE)</f>
        <v>111.2</v>
      </c>
      <c r="H143" s="74">
        <f>ALECA_Input!C60</f>
        <v>0</v>
      </c>
      <c r="I143" s="82">
        <f t="shared" si="225"/>
        <v>0</v>
      </c>
      <c r="J143" s="82">
        <f t="shared" si="226"/>
        <v>0</v>
      </c>
      <c r="K143" s="82">
        <f t="shared" si="227"/>
        <v>0</v>
      </c>
      <c r="L143" s="82">
        <f t="shared" si="228"/>
        <v>0</v>
      </c>
      <c r="M143" s="161">
        <f t="shared" si="229"/>
        <v>0</v>
      </c>
      <c r="N143" s="82">
        <f t="shared" si="230"/>
        <v>0</v>
      </c>
      <c r="O143" s="82">
        <f t="shared" si="231"/>
        <v>0</v>
      </c>
      <c r="P143" s="262">
        <f t="shared" si="232"/>
        <v>0</v>
      </c>
      <c r="Q143" s="76">
        <f>VLOOKUP($D143,Engines_all!$A$3:'Engines_all'!$V$843,11,FALSE)</f>
        <v>236.946</v>
      </c>
      <c r="R143" s="78">
        <f>VLOOKUP($D143,Engines_all!$A$3:'Engines_all'!$V$843,12,FALSE)</f>
        <v>4.4437410000000002</v>
      </c>
      <c r="S143" s="78">
        <f>VLOOKUP($D143,Engines_all!$A$3:'Engines_all'!$V$843,13,FALSE)</f>
        <v>1.1245985999999999E-2</v>
      </c>
      <c r="T143" s="78">
        <f>VLOOKUP($D143,Engines_all!$A$3:'Engines_all'!$V$843,14,FALSE)</f>
        <v>0.28226538000000001</v>
      </c>
      <c r="U143" s="78">
        <f>VLOOKUP($D143,Engines_all!$A$3:'Engines_all'!$V$843,15,FALSE)</f>
        <v>7.7632836502127475E-2</v>
      </c>
      <c r="V143" s="222">
        <f>VLOOKUP($D143,Engines_all!$A$3:'Engines_all'!$V$843,16,FALSE)</f>
        <v>9.431651195037865E+17</v>
      </c>
      <c r="W143" s="77">
        <f t="shared" si="233"/>
        <v>0.11847299999999999</v>
      </c>
      <c r="X143" s="78">
        <f>IF(E143="K",Q143*'Rest Calc'!B$16,Q143*'Rest Calc'!B$17)</f>
        <v>748.74936000000002</v>
      </c>
      <c r="Y143" s="76">
        <f>VLOOKUP($D143,Engines_all!$A$3:'Engines_all'!$V$843,17,FALSE)</f>
        <v>7680</v>
      </c>
      <c r="Z143" s="76">
        <f>VLOOKUP($D143,Engines_all!$A$3:'Engines_all'!$V$843,18,FALSE)</f>
        <v>36.095999999999997</v>
      </c>
      <c r="AA143" s="76">
        <f>VLOOKUP($D143,Engines_all!$A$3:'Engines_all'!$V$843,19,FALSE)</f>
        <v>0.80639999999999989</v>
      </c>
      <c r="AB143" s="76">
        <f>VLOOKUP($D143,Engines_all!$A$3:'Engines_all'!$V$843,20,FALSE)</f>
        <v>95.462399999999988</v>
      </c>
      <c r="AC143" s="76">
        <f>VLOOKUP($D143,Engines_all!$A$3:'Engines_all'!$V$843,21,FALSE)</f>
        <v>1.9238501644683488</v>
      </c>
      <c r="AD143" s="222">
        <f>VLOOKUP($D143,Engines_all!$A$3:'Engines_all'!$V$843,22,FALSE)</f>
        <v>7.7848935487645184E+16</v>
      </c>
      <c r="AE143" s="80">
        <f t="shared" si="234"/>
        <v>3.84</v>
      </c>
      <c r="AF143" s="79">
        <f>IF(E143="K",Y143*'Rest Calc'!B$16,Y143*'Rest Calc'!B$17)</f>
        <v>24268.800000000003</v>
      </c>
      <c r="AG143" s="79">
        <f>IF(ALECA_Input!D$121="Standard",VLOOKUP($B143,$A$211:$J$218,6,FALSE),VLOOKUP($B143,$A$211:$J$218,10,FALSE))</f>
        <v>0</v>
      </c>
      <c r="AH143" s="163">
        <f t="shared" si="224"/>
        <v>135.6</v>
      </c>
      <c r="AI143" s="75">
        <v>3</v>
      </c>
      <c r="AJ143" s="74"/>
      <c r="AK143" s="74"/>
      <c r="AL143" s="74"/>
    </row>
    <row r="144" spans="1:38" x14ac:dyDescent="0.25">
      <c r="A144" s="74" t="s">
        <v>327</v>
      </c>
      <c r="B144" s="75" t="s">
        <v>386</v>
      </c>
      <c r="C144" s="74" t="s">
        <v>328</v>
      </c>
      <c r="D144" s="74" t="s">
        <v>328</v>
      </c>
      <c r="E144" s="75" t="s">
        <v>2936</v>
      </c>
      <c r="F144" s="136">
        <v>2</v>
      </c>
      <c r="G144" s="243">
        <f>VLOOKUP(D144,Engines_all!$A$3:$AZ$843,52,FALSE)</f>
        <v>0</v>
      </c>
      <c r="H144" s="74">
        <f>ALECA_Input!K63</f>
        <v>0</v>
      </c>
      <c r="I144" s="82">
        <f t="shared" si="225"/>
        <v>0</v>
      </c>
      <c r="J144" s="82">
        <f t="shared" si="226"/>
        <v>0</v>
      </c>
      <c r="K144" s="82">
        <f t="shared" si="227"/>
        <v>0</v>
      </c>
      <c r="L144" s="82">
        <f t="shared" si="228"/>
        <v>0</v>
      </c>
      <c r="M144" s="161">
        <f t="shared" si="229"/>
        <v>0</v>
      </c>
      <c r="N144" s="82">
        <f t="shared" si="230"/>
        <v>0</v>
      </c>
      <c r="O144" s="82">
        <f t="shared" si="231"/>
        <v>0</v>
      </c>
      <c r="P144" s="262">
        <f t="shared" si="232"/>
        <v>0</v>
      </c>
      <c r="Q144" s="76">
        <f>VLOOKUP($D144,Engines_all!$A$3:'Engines_all'!$V$843,11,FALSE)</f>
        <v>22.14</v>
      </c>
      <c r="R144" s="78">
        <f>VLOOKUP($D144,Engines_all!$A$3:'Engines_all'!$V$843,12,FALSE)</f>
        <v>0.11279699999999999</v>
      </c>
      <c r="S144" s="78">
        <f>VLOOKUP($D144,Engines_all!$A$3:'Engines_all'!$V$843,13,FALSE)</f>
        <v>6.6159000000000009E-2</v>
      </c>
      <c r="T144" s="78">
        <f>VLOOKUP($D144,Engines_all!$A$3:'Engines_all'!$V$843,14,FALSE)</f>
        <v>0.39922200000000002</v>
      </c>
      <c r="U144" s="78">
        <f>VLOOKUP($D144,Engines_all!$A$3:'Engines_all'!$V$843,15,FALSE)</f>
        <v>1.0917294899999999E-2</v>
      </c>
      <c r="V144" s="222">
        <f>VLOOKUP($D144,Engines_all!$A$3:'Engines_all'!$V$843,16,FALSE)</f>
        <v>1.6123381903853085E+17</v>
      </c>
      <c r="W144" s="77">
        <f t="shared" si="233"/>
        <v>1.107E-2</v>
      </c>
      <c r="X144" s="78">
        <f>IF(E144="K",Q144*'Rest Calc'!B$16,Q144*'Rest Calc'!B$17)</f>
        <v>69.962400000000002</v>
      </c>
      <c r="Y144" s="76">
        <f>VLOOKUP($D144,Engines_all!$A$3:'Engines_all'!$V$843,17,FALSE)</f>
        <v>903.42206557701002</v>
      </c>
      <c r="Z144" s="76">
        <f>VLOOKUP($D144,Engines_all!$A$3:'Engines_all'!$V$843,18,FALSE)</f>
        <v>1.5377142857142878</v>
      </c>
      <c r="AA144" s="76">
        <f>VLOOKUP($D144,Engines_all!$A$3:'Engines_all'!$V$843,19,FALSE)</f>
        <v>74.811435013288161</v>
      </c>
      <c r="AB144" s="76">
        <f>VLOOKUP($D144,Engines_all!$A$3:'Engines_all'!$V$843,20,FALSE)</f>
        <v>195.26521620723236</v>
      </c>
      <c r="AC144" s="76">
        <f>VLOOKUP($D144,Engines_all!$A$3:'Engines_all'!$V$843,21,FALSE)</f>
        <v>0.66301353777303851</v>
      </c>
      <c r="AD144" s="222">
        <f>VLOOKUP($D144,Engines_all!$A$3:'Engines_all'!$V$843,22,FALSE)</f>
        <v>8908173692831628</v>
      </c>
      <c r="AE144" s="80">
        <f t="shared" si="234"/>
        <v>0.451711032788505</v>
      </c>
      <c r="AF144" s="79">
        <f>IF(E144="K",Y144*'Rest Calc'!B$16,Y144*'Rest Calc'!B$17)</f>
        <v>2854.8137272233516</v>
      </c>
      <c r="AG144" s="79">
        <f>IF(ALECA_Input!D$121="Standard",VLOOKUP($B144,$A$211:$J$218,6,FALSE),VLOOKUP($B144,$A$211:$J$218,10,FALSE))</f>
        <v>0</v>
      </c>
      <c r="AH144" s="163">
        <v>180</v>
      </c>
      <c r="AI144" s="75">
        <v>6</v>
      </c>
      <c r="AJ144" s="74"/>
      <c r="AK144" s="74"/>
      <c r="AL144" s="74"/>
    </row>
    <row r="145" spans="1:38" x14ac:dyDescent="0.25">
      <c r="A145" s="74" t="s">
        <v>329</v>
      </c>
      <c r="B145" s="75" t="s">
        <v>386</v>
      </c>
      <c r="C145" s="74" t="s">
        <v>330</v>
      </c>
      <c r="D145" s="74" t="s">
        <v>330</v>
      </c>
      <c r="E145" s="75" t="s">
        <v>2936</v>
      </c>
      <c r="F145" s="136">
        <v>1</v>
      </c>
      <c r="G145" s="243">
        <f>VLOOKUP(D145,Engines_all!$A$3:$AZ$843,52,FALSE)</f>
        <v>0</v>
      </c>
      <c r="H145" s="74">
        <f>ALECA_Input!K64</f>
        <v>0</v>
      </c>
      <c r="I145" s="82">
        <f t="shared" si="225"/>
        <v>0</v>
      </c>
      <c r="J145" s="82">
        <f t="shared" si="226"/>
        <v>0</v>
      </c>
      <c r="K145" s="82">
        <f t="shared" si="227"/>
        <v>0</v>
      </c>
      <c r="L145" s="82">
        <f t="shared" si="228"/>
        <v>0</v>
      </c>
      <c r="M145" s="161">
        <f t="shared" si="229"/>
        <v>0</v>
      </c>
      <c r="N145" s="82">
        <f t="shared" si="230"/>
        <v>0</v>
      </c>
      <c r="O145" s="82">
        <f t="shared" si="231"/>
        <v>0</v>
      </c>
      <c r="P145" s="262">
        <f t="shared" si="232"/>
        <v>0</v>
      </c>
      <c r="Q145" s="76">
        <f>VLOOKUP($D145,Engines_all!$A$3:'Engines_all'!$V$843,11,FALSE)</f>
        <v>26.25</v>
      </c>
      <c r="R145" s="78">
        <f>VLOOKUP($D145,Engines_all!$A$3:'Engines_all'!$V$843,12,FALSE)</f>
        <v>0.14997000000000002</v>
      </c>
      <c r="S145" s="78">
        <f>VLOOKUP($D145,Engines_all!$A$3:'Engines_all'!$V$843,13,FALSE)</f>
        <v>4.5029999999999994E-2</v>
      </c>
      <c r="T145" s="78">
        <f>VLOOKUP($D145,Engines_all!$A$3:'Engines_all'!$V$843,14,FALSE)</f>
        <v>0.34387499999999999</v>
      </c>
      <c r="U145" s="78">
        <f>VLOOKUP($D145,Engines_all!$A$3:'Engines_all'!$V$843,15,FALSE)</f>
        <v>1.2062422499999999E-2</v>
      </c>
      <c r="V145" s="222">
        <f>VLOOKUP($D145,Engines_all!$A$3:'Engines_all'!$V$843,16,FALSE)</f>
        <v>2.1824454875512288E+17</v>
      </c>
      <c r="W145" s="77">
        <f t="shared" si="233"/>
        <v>1.3125E-2</v>
      </c>
      <c r="X145" s="78">
        <f>IF(E145="K",Q145*'Rest Calc'!B$16,Q145*'Rest Calc'!B$17)</f>
        <v>82.95</v>
      </c>
      <c r="Y145" s="76">
        <f>VLOOKUP($D145,Engines_all!$A$3:'Engines_all'!$V$843,17,FALSE)</f>
        <v>981.98050606197012</v>
      </c>
      <c r="Z145" s="76">
        <f>VLOOKUP($D145,Engines_all!$A$3:'Engines_all'!$V$843,18,FALSE)</f>
        <v>1.8000000000000118</v>
      </c>
      <c r="AA145" s="76">
        <f>VLOOKUP($D145,Engines_all!$A$3:'Engines_all'!$V$843,19,FALSE)</f>
        <v>63.352549422757981</v>
      </c>
      <c r="AB145" s="76">
        <f>VLOOKUP($D145,Engines_all!$A$3:'Engines_all'!$V$843,20,FALSE)</f>
        <v>180.85829898042238</v>
      </c>
      <c r="AC145" s="76">
        <f>VLOOKUP($D145,Engines_all!$A$3:'Engines_all'!$V$843,21,FALSE)</f>
        <v>0.61571948660636522</v>
      </c>
      <c r="AD145" s="222">
        <f>VLOOKUP($D145,Engines_all!$A$3:'Engines_all'!$V$843,22,FALSE)</f>
        <v>1.0016687060905156E+16</v>
      </c>
      <c r="AE145" s="80">
        <f t="shared" si="234"/>
        <v>0.49099025303098509</v>
      </c>
      <c r="AF145" s="79">
        <f>IF(E145="K",Y145*'Rest Calc'!B$16,Y145*'Rest Calc'!B$17)</f>
        <v>3103.0583991558256</v>
      </c>
      <c r="AG145" s="79">
        <f>IF(ALECA_Input!D$121="Standard",VLOOKUP($B145,$A$211:$J$218,6,FALSE),VLOOKUP($B145,$A$211:$J$218,10,FALSE))</f>
        <v>0</v>
      </c>
      <c r="AH145" s="163">
        <v>180</v>
      </c>
      <c r="AI145" s="75">
        <v>6</v>
      </c>
      <c r="AJ145" s="74"/>
      <c r="AK145" s="74"/>
      <c r="AL145" s="74"/>
    </row>
    <row r="146" spans="1:38" x14ac:dyDescent="0.25">
      <c r="A146" s="74" t="s">
        <v>331</v>
      </c>
      <c r="B146" s="75" t="s">
        <v>386</v>
      </c>
      <c r="C146" s="74" t="s">
        <v>332</v>
      </c>
      <c r="D146" s="74" t="s">
        <v>234</v>
      </c>
      <c r="E146" s="75" t="s">
        <v>2936</v>
      </c>
      <c r="F146" s="136">
        <v>1</v>
      </c>
      <c r="G146" s="243">
        <f>VLOOKUP(D146,Engines_all!$A$3:$AZ$843,52,FALSE)</f>
        <v>0</v>
      </c>
      <c r="H146" s="74">
        <f>ALECA_Input!K65</f>
        <v>0</v>
      </c>
      <c r="I146" s="82">
        <f t="shared" si="225"/>
        <v>0</v>
      </c>
      <c r="J146" s="82">
        <f t="shared" si="226"/>
        <v>0</v>
      </c>
      <c r="K146" s="82">
        <f t="shared" si="227"/>
        <v>0</v>
      </c>
      <c r="L146" s="82">
        <f t="shared" si="228"/>
        <v>0</v>
      </c>
      <c r="M146" s="161">
        <f t="shared" si="229"/>
        <v>0</v>
      </c>
      <c r="N146" s="82">
        <f t="shared" si="230"/>
        <v>0</v>
      </c>
      <c r="O146" s="82">
        <f t="shared" si="231"/>
        <v>0</v>
      </c>
      <c r="P146" s="262">
        <f t="shared" si="232"/>
        <v>0</v>
      </c>
      <c r="Q146" s="76">
        <f>VLOOKUP($D146,Engines_all!$A$3:'Engines_all'!$V$843,11,FALSE)</f>
        <v>24.9</v>
      </c>
      <c r="R146" s="78">
        <f>VLOOKUP($D146,Engines_all!$A$3:'Engines_all'!$V$843,12,FALSE)</f>
        <v>0.13766399999999998</v>
      </c>
      <c r="S146" s="78">
        <f>VLOOKUP($D146,Engines_all!$A$3:'Engines_all'!$V$843,13,FALSE)</f>
        <v>5.1450000000000003E-2</v>
      </c>
      <c r="T146" s="78">
        <f>VLOOKUP($D146,Engines_all!$A$3:'Engines_all'!$V$843,14,FALSE)</f>
        <v>0.35814000000000001</v>
      </c>
      <c r="U146" s="78">
        <f>VLOOKUP($D146,Engines_all!$A$3:'Engines_all'!$V$843,15,FALSE)</f>
        <v>1.1663415E-2</v>
      </c>
      <c r="V146" s="222">
        <f>VLOOKUP($D146,Engines_all!$A$3:'Engines_all'!$V$843,16,FALSE)</f>
        <v>1.9699042688349795E+17</v>
      </c>
      <c r="W146" s="77">
        <f t="shared" si="233"/>
        <v>1.2449999999999999E-2</v>
      </c>
      <c r="X146" s="78">
        <f>IF(E146="K",Q146*'Rest Calc'!B$16,Q146*'Rest Calc'!B$17)</f>
        <v>78.683999999999997</v>
      </c>
      <c r="Y146" s="76">
        <f>VLOOKUP($D146,Engines_all!$A$3:'Engines_all'!$V$843,17,FALSE)</f>
        <v>942.70128581948995</v>
      </c>
      <c r="Z146" s="76">
        <f>VLOOKUP($D146,Engines_all!$A$3:'Engines_all'!$V$843,18,FALSE)</f>
        <v>1.666285714285721</v>
      </c>
      <c r="AA146" s="76">
        <f>VLOOKUP($D146,Engines_all!$A$3:'Engines_all'!$V$843,19,FALSE)</f>
        <v>65.350945876813967</v>
      </c>
      <c r="AB146" s="76">
        <f>VLOOKUP($D146,Engines_all!$A$3:'Engines_all'!$V$843,20,FALSE)</f>
        <v>183.05213275744688</v>
      </c>
      <c r="AC146" s="76">
        <f>VLOOKUP($D146,Engines_all!$A$3:'Engines_all'!$V$843,21,FALSE)</f>
        <v>0.61622811860371385</v>
      </c>
      <c r="AD146" s="222">
        <f>VLOOKUP($D146,Engines_all!$A$3:'Engines_all'!$V$843,22,FALSE)</f>
        <v>9455752585494454</v>
      </c>
      <c r="AE146" s="80">
        <f t="shared" si="234"/>
        <v>0.47135064290974499</v>
      </c>
      <c r="AF146" s="79">
        <f>IF(E146="K",Y146*'Rest Calc'!B$16,Y146*'Rest Calc'!B$17)</f>
        <v>2978.9360631895884</v>
      </c>
      <c r="AG146" s="79">
        <f>IF(ALECA_Input!D$121="Standard",VLOOKUP($B146,$A$211:$J$218,6,FALSE),VLOOKUP($B146,$A$211:$J$218,10,FALSE))</f>
        <v>0</v>
      </c>
      <c r="AH146" s="163">
        <v>180</v>
      </c>
      <c r="AI146" s="75">
        <v>6</v>
      </c>
      <c r="AJ146" s="74"/>
      <c r="AK146" s="74"/>
      <c r="AL146" s="74"/>
    </row>
    <row r="147" spans="1:38" x14ac:dyDescent="0.25">
      <c r="A147" s="74" t="s">
        <v>333</v>
      </c>
      <c r="B147" s="75" t="s">
        <v>386</v>
      </c>
      <c r="C147" s="74" t="s">
        <v>334</v>
      </c>
      <c r="D147" s="74" t="s">
        <v>334</v>
      </c>
      <c r="E147" s="75" t="s">
        <v>2936</v>
      </c>
      <c r="F147" s="136">
        <v>1</v>
      </c>
      <c r="G147" s="243">
        <f>VLOOKUP(D147,Engines_all!$A$3:$AZ$843,52,FALSE)</f>
        <v>0</v>
      </c>
      <c r="H147" s="74">
        <f>ALECA_Input!K66</f>
        <v>0</v>
      </c>
      <c r="I147" s="82">
        <f t="shared" si="225"/>
        <v>0</v>
      </c>
      <c r="J147" s="82">
        <f t="shared" si="226"/>
        <v>0</v>
      </c>
      <c r="K147" s="82">
        <f t="shared" si="227"/>
        <v>0</v>
      </c>
      <c r="L147" s="82">
        <f t="shared" si="228"/>
        <v>0</v>
      </c>
      <c r="M147" s="161">
        <f t="shared" si="229"/>
        <v>0</v>
      </c>
      <c r="N147" s="82">
        <f t="shared" si="230"/>
        <v>0</v>
      </c>
      <c r="O147" s="82">
        <f t="shared" si="231"/>
        <v>0</v>
      </c>
      <c r="P147" s="262">
        <f t="shared" si="232"/>
        <v>0</v>
      </c>
      <c r="Q147" s="76">
        <f>VLOOKUP($D147,Engines_all!$A$3:'Engines_all'!$V$843,11,FALSE)</f>
        <v>22.14</v>
      </c>
      <c r="R147" s="78">
        <f>VLOOKUP($D147,Engines_all!$A$3:'Engines_all'!$V$843,12,FALSE)</f>
        <v>0.11727600000000001</v>
      </c>
      <c r="S147" s="78">
        <f>VLOOKUP($D147,Engines_all!$A$3:'Engines_all'!$V$843,13,FALSE)</f>
        <v>5.13E-3</v>
      </c>
      <c r="T147" s="78">
        <f>VLOOKUP($D147,Engines_all!$A$3:'Engines_all'!$V$843,14,FALSE)</f>
        <v>0.25578600000000001</v>
      </c>
      <c r="U147" s="78">
        <f>VLOOKUP($D147,Engines_all!$A$3:'Engines_all'!$V$843,15,FALSE)</f>
        <v>7.5729939E-3</v>
      </c>
      <c r="V147" s="222">
        <f>VLOOKUP($D147,Engines_all!$A$3:'Engines_all'!$V$843,16,FALSE)</f>
        <v>1.6760565432083587E+17</v>
      </c>
      <c r="W147" s="77">
        <f t="shared" si="233"/>
        <v>1.107E-2</v>
      </c>
      <c r="X147" s="78">
        <f>IF(E147="K",Q147*'Rest Calc'!B$16,Q147*'Rest Calc'!B$17)</f>
        <v>69.962400000000002</v>
      </c>
      <c r="Y147" s="76">
        <f>VLOOKUP($D147,Engines_all!$A$3:'Engines_all'!$V$843,17,FALSE)</f>
        <v>824.86362509205003</v>
      </c>
      <c r="Z147" s="76">
        <f>VLOOKUP($D147,Engines_all!$A$3:'Engines_all'!$V$843,18,FALSE)</f>
        <v>1.6739999999999982</v>
      </c>
      <c r="AA147" s="76">
        <f>VLOOKUP($D147,Engines_all!$A$3:'Engines_all'!$V$843,19,FALSE)</f>
        <v>21.888980172453753</v>
      </c>
      <c r="AB147" s="76">
        <f>VLOOKUP($D147,Engines_all!$A$3:'Engines_all'!$V$843,20,FALSE)</f>
        <v>127.90455181665941</v>
      </c>
      <c r="AC147" s="76">
        <f>VLOOKUP($D147,Engines_all!$A$3:'Engines_all'!$V$843,21,FALSE)</f>
        <v>0.32020389695220153</v>
      </c>
      <c r="AD147" s="222">
        <f>VLOOKUP($D147,Engines_all!$A$3:'Engines_all'!$V$843,22,FALSE)</f>
        <v>8203666702881275</v>
      </c>
      <c r="AE147" s="80">
        <f t="shared" si="234"/>
        <v>0.41243181254602501</v>
      </c>
      <c r="AF147" s="79">
        <f>IF(E147="K",Y147*'Rest Calc'!B$16,Y147*'Rest Calc'!B$17)</f>
        <v>2606.5690552908782</v>
      </c>
      <c r="AG147" s="79">
        <f>IF(ALECA_Input!D$121="Standard",VLOOKUP($B147,$A$211:$J$218,6,FALSE),VLOOKUP($B147,$A$211:$J$218,10,FALSE))</f>
        <v>0</v>
      </c>
      <c r="AH147" s="163">
        <v>180</v>
      </c>
      <c r="AI147" s="75">
        <v>6</v>
      </c>
      <c r="AJ147" s="74"/>
      <c r="AK147" s="74"/>
      <c r="AL147" s="74"/>
    </row>
    <row r="148" spans="1:38" x14ac:dyDescent="0.25">
      <c r="A148" s="74" t="s">
        <v>335</v>
      </c>
      <c r="B148" s="75" t="s">
        <v>386</v>
      </c>
      <c r="C148" s="74" t="s">
        <v>336</v>
      </c>
      <c r="D148" s="74" t="s">
        <v>336</v>
      </c>
      <c r="E148" s="75" t="s">
        <v>2936</v>
      </c>
      <c r="F148" s="136">
        <v>2</v>
      </c>
      <c r="G148" s="243">
        <f>VLOOKUP(D148,Engines_all!$A$3:$AZ$843,52,FALSE)</f>
        <v>0</v>
      </c>
      <c r="H148" s="74">
        <f>ALECA_Input!K67</f>
        <v>0</v>
      </c>
      <c r="I148" s="82">
        <f t="shared" si="225"/>
        <v>0</v>
      </c>
      <c r="J148" s="82">
        <f t="shared" si="226"/>
        <v>0</v>
      </c>
      <c r="K148" s="82">
        <f t="shared" si="227"/>
        <v>0</v>
      </c>
      <c r="L148" s="82">
        <f t="shared" si="228"/>
        <v>0</v>
      </c>
      <c r="M148" s="161">
        <f t="shared" si="229"/>
        <v>0</v>
      </c>
      <c r="N148" s="82">
        <f t="shared" si="230"/>
        <v>0</v>
      </c>
      <c r="O148" s="82">
        <f t="shared" si="231"/>
        <v>0</v>
      </c>
      <c r="P148" s="262">
        <f t="shared" si="232"/>
        <v>0</v>
      </c>
      <c r="Q148" s="76">
        <f>VLOOKUP($D148,Engines_all!$A$3:'Engines_all'!$V$843,11,FALSE)</f>
        <v>14.984999999999999</v>
      </c>
      <c r="R148" s="78">
        <f>VLOOKUP($D148,Engines_all!$A$3:'Engines_all'!$V$843,12,FALSE)</f>
        <v>9.8608499999999988E-2</v>
      </c>
      <c r="S148" s="78">
        <f>VLOOKUP($D148,Engines_all!$A$3:'Engines_all'!$V$843,13,FALSE)</f>
        <v>1.3230000000000002E-3</v>
      </c>
      <c r="T148" s="78">
        <f>VLOOKUP($D148,Engines_all!$A$3:'Engines_all'!$V$843,14,FALSE)</f>
        <v>3.2691000000000005E-2</v>
      </c>
      <c r="U148" s="78">
        <f>VLOOKUP($D148,Engines_all!$A$3:'Engines_all'!$V$843,15,FALSE)</f>
        <v>5.3823808500000009E-3</v>
      </c>
      <c r="V148" s="222">
        <f>VLOOKUP($D148,Engines_all!$A$3:'Engines_all'!$V$843,16,FALSE)</f>
        <v>2.0417985E+17</v>
      </c>
      <c r="W148" s="77">
        <f t="shared" si="233"/>
        <v>7.4925E-3</v>
      </c>
      <c r="X148" s="78">
        <f>IF(E148="K",Q148*'Rest Calc'!B$16,Q148*'Rest Calc'!B$17)</f>
        <v>47.352600000000002</v>
      </c>
      <c r="Y148" s="76">
        <f>VLOOKUP($D148,Engines_all!$A$3:'Engines_all'!$V$843,17,FALSE)</f>
        <v>864</v>
      </c>
      <c r="Z148" s="76">
        <f>VLOOKUP($D148,Engines_all!$A$3:'Engines_all'!$V$843,18,FALSE)</f>
        <v>3.7151999999999998</v>
      </c>
      <c r="AA148" s="76">
        <f>VLOOKUP($D148,Engines_all!$A$3:'Engines_all'!$V$843,19,FALSE)</f>
        <v>1.0367999999999999</v>
      </c>
      <c r="AB148" s="76">
        <f>VLOOKUP($D148,Engines_all!$A$3:'Engines_all'!$V$843,20,FALSE)</f>
        <v>15.033599999999998</v>
      </c>
      <c r="AC148" s="76">
        <f>VLOOKUP($D148,Engines_all!$A$3:'Engines_all'!$V$843,21,FALSE)</f>
        <v>0.18996249600000001</v>
      </c>
      <c r="AD148" s="222">
        <f>VLOOKUP($D148,Engines_all!$A$3:'Engines_all'!$V$843,22,FALSE)</f>
        <v>2.29824E+16</v>
      </c>
      <c r="AE148" s="80">
        <f t="shared" si="234"/>
        <v>0.432</v>
      </c>
      <c r="AF148" s="79">
        <f>IF(E148="K",Y148*'Rest Calc'!B$16,Y148*'Rest Calc'!B$17)</f>
        <v>2730.2400000000002</v>
      </c>
      <c r="AG148" s="79">
        <f>IF(ALECA_Input!D$121="Standard",VLOOKUP($B148,$A$211:$J$218,6,FALSE),VLOOKUP($B148,$A$211:$J$218,10,FALSE))</f>
        <v>0</v>
      </c>
      <c r="AH148" s="163">
        <v>180</v>
      </c>
      <c r="AI148" s="75">
        <v>6</v>
      </c>
      <c r="AJ148" s="74"/>
      <c r="AK148" s="74"/>
      <c r="AL148" s="74"/>
    </row>
    <row r="149" spans="1:38" x14ac:dyDescent="0.25">
      <c r="A149" s="74" t="s">
        <v>337</v>
      </c>
      <c r="B149" s="75" t="s">
        <v>385</v>
      </c>
      <c r="C149" s="74" t="s">
        <v>338</v>
      </c>
      <c r="D149" s="74" t="s">
        <v>2681</v>
      </c>
      <c r="E149" s="75" t="s">
        <v>2937</v>
      </c>
      <c r="F149" s="136">
        <v>1</v>
      </c>
      <c r="G149" s="243">
        <f>VLOOKUP(D149,Engines_all!$A$3:$AZ$843,52,FALSE)</f>
        <v>0</v>
      </c>
      <c r="H149" s="74">
        <f>ALECA_Input!K68</f>
        <v>0</v>
      </c>
      <c r="I149" s="82">
        <f t="shared" si="225"/>
        <v>0</v>
      </c>
      <c r="J149" s="82">
        <f t="shared" si="226"/>
        <v>0</v>
      </c>
      <c r="K149" s="82">
        <f t="shared" si="227"/>
        <v>0</v>
      </c>
      <c r="L149" s="82">
        <f t="shared" si="228"/>
        <v>0</v>
      </c>
      <c r="M149" s="161">
        <f t="shared" si="229"/>
        <v>0</v>
      </c>
      <c r="N149" s="82">
        <f t="shared" si="230"/>
        <v>0</v>
      </c>
      <c r="O149" s="82">
        <f t="shared" si="231"/>
        <v>0</v>
      </c>
      <c r="P149" s="262">
        <f t="shared" si="232"/>
        <v>0</v>
      </c>
      <c r="Q149" s="76">
        <f>VLOOKUP($D149,Engines_all!$A$3:'Engines_all'!$V$843,11,FALSE)</f>
        <v>7.4046000000000003</v>
      </c>
      <c r="R149" s="78">
        <f>VLOOKUP($D149,Engines_all!$A$3:'Engines_all'!$V$843,12,FALSE)</f>
        <v>3.0205800000000005E-2</v>
      </c>
      <c r="S149" s="78">
        <f>VLOOKUP($D149,Engines_all!$A$3:'Engines_all'!$V$843,13,FALSE)</f>
        <v>0.10976153999999999</v>
      </c>
      <c r="T149" s="78">
        <f>VLOOKUP($D149,Engines_all!$A$3:'Engines_all'!$V$843,14,FALSE)</f>
        <v>6.8277419999999998</v>
      </c>
      <c r="U149" s="78">
        <f>VLOOKUP($D149,Engines_all!$A$3:'Engines_all'!$V$843,15,FALSE)</f>
        <v>8.5649633160000006E-3</v>
      </c>
      <c r="V149" s="222">
        <f>VLOOKUP($D149,Engines_all!$A$3:'Engines_all'!$V$843,16,FALSE)</f>
        <v>789847341687223.38</v>
      </c>
      <c r="W149" s="77">
        <f t="shared" si="233"/>
        <v>3.7023000000000004E-3</v>
      </c>
      <c r="X149" s="78">
        <f>IF(E149="K",Q149*'Rest Calc'!B$16,Q149*'Rest Calc'!B$17)</f>
        <v>22.584029999999998</v>
      </c>
      <c r="Y149" s="76">
        <f>VLOOKUP($D149,Engines_all!$A$3:'Engines_all'!$V$843,17,FALSE)</f>
        <v>150</v>
      </c>
      <c r="Z149" s="76">
        <f>VLOOKUP($D149,Engines_all!$A$3:'Engines_all'!$V$843,18,FALSE)</f>
        <v>0.15</v>
      </c>
      <c r="AA149" s="76">
        <f>VLOOKUP($D149,Engines_all!$A$3:'Engines_all'!$V$843,19,FALSE)</f>
        <v>6.84</v>
      </c>
      <c r="AB149" s="76">
        <f>VLOOKUP($D149,Engines_all!$A$3:'Engines_all'!$V$843,20,FALSE)</f>
        <v>150</v>
      </c>
      <c r="AC149" s="76">
        <f>VLOOKUP($D149,Engines_all!$A$3:'Engines_all'!$V$843,21,FALSE)</f>
        <v>6.0796799999999998E-2</v>
      </c>
      <c r="AD149" s="222">
        <f>VLOOKUP($D149,Engines_all!$A$3:'Engines_all'!$V$843,22,FALSE)</f>
        <v>43351387667536.984</v>
      </c>
      <c r="AE149" s="80">
        <f t="shared" si="234"/>
        <v>7.4999999999999997E-2</v>
      </c>
      <c r="AF149" s="79">
        <f>IF(E149="K",Y149*'Rest Calc'!B$16,Y149*'Rest Calc'!B$17)</f>
        <v>457.5</v>
      </c>
      <c r="AG149" s="79">
        <f>IF(ALECA_Input!D$121="Standard",VLOOKUP($B149,$A$211:$J$218,6,FALSE),VLOOKUP($B149,$A$211:$J$218,10,FALSE))</f>
        <v>0</v>
      </c>
      <c r="AH149" s="163">
        <v>90</v>
      </c>
      <c r="AI149" s="75">
        <v>7</v>
      </c>
      <c r="AJ149" s="74"/>
      <c r="AK149" s="74"/>
      <c r="AL149" s="74"/>
    </row>
    <row r="150" spans="1:38" x14ac:dyDescent="0.25">
      <c r="A150" s="74" t="s">
        <v>339</v>
      </c>
      <c r="B150" s="75" t="s">
        <v>385</v>
      </c>
      <c r="C150" s="74" t="s">
        <v>340</v>
      </c>
      <c r="D150" s="74" t="s">
        <v>341</v>
      </c>
      <c r="E150" s="75" t="s">
        <v>2937</v>
      </c>
      <c r="F150" s="136">
        <v>2</v>
      </c>
      <c r="G150" s="243">
        <f>VLOOKUP(D150,Engines_all!$A$3:$AZ$843,52,FALSE)</f>
        <v>0</v>
      </c>
      <c r="H150" s="74">
        <f>ALECA_Input!K69</f>
        <v>0</v>
      </c>
      <c r="I150" s="82">
        <f t="shared" si="225"/>
        <v>0</v>
      </c>
      <c r="J150" s="82">
        <f t="shared" si="226"/>
        <v>0</v>
      </c>
      <c r="K150" s="82">
        <f t="shared" si="227"/>
        <v>0</v>
      </c>
      <c r="L150" s="82">
        <f t="shared" si="228"/>
        <v>0</v>
      </c>
      <c r="M150" s="161">
        <f t="shared" si="229"/>
        <v>0</v>
      </c>
      <c r="N150" s="82">
        <f t="shared" si="230"/>
        <v>0</v>
      </c>
      <c r="O150" s="82">
        <f t="shared" si="231"/>
        <v>0</v>
      </c>
      <c r="P150" s="262">
        <f t="shared" si="232"/>
        <v>0</v>
      </c>
      <c r="Q150" s="76">
        <f>VLOOKUP($D150,Engines_all!$A$3:'Engines_all'!$V$843,11,FALSE)</f>
        <v>6.8243999999999998</v>
      </c>
      <c r="R150" s="78">
        <f>VLOOKUP($D150,Engines_all!$A$3:'Engines_all'!$V$843,12,FALSE)</f>
        <v>2.7469944000000003E-2</v>
      </c>
      <c r="S150" s="78">
        <f>VLOOKUP($D150,Engines_all!$A$3:'Engines_all'!$V$843,13,FALSE)</f>
        <v>6.9936828000000006E-2</v>
      </c>
      <c r="T150" s="78">
        <f>VLOOKUP($D150,Engines_all!$A$3:'Engines_all'!$V$843,14,FALSE)</f>
        <v>6.6886140000000012</v>
      </c>
      <c r="U150" s="78">
        <f>VLOOKUP($D150,Engines_all!$A$3:'Engines_all'!$V$843,15,FALSE)</f>
        <v>5.6417762939999999E-3</v>
      </c>
      <c r="V150" s="222">
        <f>VLOOKUP($D150,Engines_all!$A$3:'Engines_all'!$V$843,16,FALSE)</f>
        <v>687296792301436.5</v>
      </c>
      <c r="W150" s="77">
        <f t="shared" si="233"/>
        <v>3.4121999999999998E-3</v>
      </c>
      <c r="X150" s="78">
        <f>IF(E150="K",Q150*'Rest Calc'!B$16,Q150*'Rest Calc'!B$17)</f>
        <v>20.814419999999998</v>
      </c>
      <c r="Y150" s="76">
        <f>VLOOKUP($D150,Engines_all!$A$3:'Engines_all'!$V$843,17,FALSE)</f>
        <v>84</v>
      </c>
      <c r="Z150" s="76">
        <f>VLOOKUP($D150,Engines_all!$A$3:'Engines_all'!$V$843,18,FALSE)</f>
        <v>0.16044000000000003</v>
      </c>
      <c r="AA150" s="76">
        <f>VLOOKUP($D150,Engines_all!$A$3:'Engines_all'!$V$843,19,FALSE)</f>
        <v>11.61384</v>
      </c>
      <c r="AB150" s="76">
        <f>VLOOKUP($D150,Engines_all!$A$3:'Engines_all'!$V$843,20,FALSE)</f>
        <v>49.744800000000005</v>
      </c>
      <c r="AC150" s="76">
        <f>VLOOKUP($D150,Engines_all!$A$3:'Engines_all'!$V$843,21,FALSE)</f>
        <v>8.2070032800000012E-2</v>
      </c>
      <c r="AD150" s="222">
        <f>VLOOKUP($D150,Engines_all!$A$3:'Engines_all'!$V$843,22,FALSE)</f>
        <v>24276777093820.715</v>
      </c>
      <c r="AE150" s="80">
        <f t="shared" si="234"/>
        <v>4.2000000000000003E-2</v>
      </c>
      <c r="AF150" s="79">
        <f>IF(E150="K",Y150*'Rest Calc'!B$16,Y150*'Rest Calc'!B$17)</f>
        <v>256.2</v>
      </c>
      <c r="AG150" s="79">
        <f>IF(ALECA_Input!D$121="Standard",VLOOKUP($B150,$A$211:$J$218,6,FALSE),VLOOKUP($B150,$A$211:$J$218,10,FALSE))</f>
        <v>0</v>
      </c>
      <c r="AH150" s="163">
        <v>90</v>
      </c>
      <c r="AI150" s="75">
        <v>7</v>
      </c>
      <c r="AJ150" s="74"/>
      <c r="AK150" s="74"/>
      <c r="AL150" s="74"/>
    </row>
    <row r="151" spans="1:38" x14ac:dyDescent="0.25">
      <c r="A151" s="74" t="s">
        <v>342</v>
      </c>
      <c r="B151" s="75" t="s">
        <v>386</v>
      </c>
      <c r="C151" s="74" t="s">
        <v>230</v>
      </c>
      <c r="D151" s="74" t="s">
        <v>230</v>
      </c>
      <c r="E151" s="75" t="s">
        <v>2936</v>
      </c>
      <c r="F151" s="136">
        <v>1</v>
      </c>
      <c r="G151" s="243">
        <f>VLOOKUP(D151,Engines_all!$A$3:$AZ$843,52,FALSE)</f>
        <v>0</v>
      </c>
      <c r="H151" s="74">
        <f>ALECA_Input!K70</f>
        <v>0</v>
      </c>
      <c r="I151" s="82">
        <f t="shared" si="225"/>
        <v>0</v>
      </c>
      <c r="J151" s="82">
        <f t="shared" si="226"/>
        <v>0</v>
      </c>
      <c r="K151" s="82">
        <f t="shared" si="227"/>
        <v>0</v>
      </c>
      <c r="L151" s="82">
        <f t="shared" si="228"/>
        <v>0</v>
      </c>
      <c r="M151" s="161">
        <f t="shared" si="229"/>
        <v>0</v>
      </c>
      <c r="N151" s="82">
        <f t="shared" si="230"/>
        <v>0</v>
      </c>
      <c r="O151" s="82">
        <f t="shared" si="231"/>
        <v>0</v>
      </c>
      <c r="P151" s="262">
        <f t="shared" si="232"/>
        <v>0</v>
      </c>
      <c r="Q151" s="76">
        <f>VLOOKUP($D151,Engines_all!$A$3:'Engines_all'!$V$843,11,FALSE)</f>
        <v>19.800000000000004</v>
      </c>
      <c r="R151" s="78">
        <f>VLOOKUP($D151,Engines_all!$A$3:'Engines_all'!$V$843,12,FALSE)</f>
        <v>0.11902800000000002</v>
      </c>
      <c r="S151" s="78">
        <f>VLOOKUP($D151,Engines_all!$A$3:'Engines_all'!$V$843,13,FALSE)</f>
        <v>0</v>
      </c>
      <c r="T151" s="78">
        <f>VLOOKUP($D151,Engines_all!$A$3:'Engines_all'!$V$843,14,FALSE)</f>
        <v>8.4390000000000021E-2</v>
      </c>
      <c r="U151" s="78">
        <f>VLOOKUP($D151,Engines_all!$A$3:'Engines_all'!$V$843,15,FALSE)</f>
        <v>6.269628000000001E-3</v>
      </c>
      <c r="V151" s="222">
        <f>VLOOKUP($D151,Engines_all!$A$3:'Engines_all'!$V$843,16,FALSE)</f>
        <v>1.4423063223850528E+17</v>
      </c>
      <c r="W151" s="77">
        <f t="shared" si="233"/>
        <v>9.9000000000000025E-3</v>
      </c>
      <c r="X151" s="78">
        <f>IF(E151="K",Q151*'Rest Calc'!B$16,Q151*'Rest Calc'!B$17)</f>
        <v>62.568000000000019</v>
      </c>
      <c r="Y151" s="76">
        <f>VLOOKUP($D151,Engines_all!$A$3:'Engines_all'!$V$843,17,FALSE)</f>
        <v>707.02596436461602</v>
      </c>
      <c r="Z151" s="76">
        <f>VLOOKUP($D151,Engines_all!$A$3:'Engines_all'!$V$843,18,FALSE)</f>
        <v>1.5274285714285769</v>
      </c>
      <c r="AA151" s="76">
        <f>VLOOKUP($D151,Engines_all!$A$3:'Engines_all'!$V$843,19,FALSE)</f>
        <v>12.312551347005261</v>
      </c>
      <c r="AB151" s="76">
        <f>VLOOKUP($D151,Engines_all!$A$3:'Engines_all'!$V$843,20,FALSE)</f>
        <v>54.229924523949201</v>
      </c>
      <c r="AC151" s="76">
        <f>VLOOKUP($D151,Engines_all!$A$3:'Engines_all'!$V$843,21,FALSE)</f>
        <v>0.23360695082575722</v>
      </c>
      <c r="AD151" s="222">
        <f>VLOOKUP($D151,Engines_all!$A$3:'Engines_all'!$V$843,22,FALSE)</f>
        <v>6971614194389966</v>
      </c>
      <c r="AE151" s="80">
        <f t="shared" si="234"/>
        <v>0.35351298218230803</v>
      </c>
      <c r="AF151" s="79">
        <f>IF(E151="K",Y151*'Rest Calc'!B$16,Y151*'Rest Calc'!B$17)</f>
        <v>2234.2020473921866</v>
      </c>
      <c r="AG151" s="79">
        <f>IF(ALECA_Input!D$121="Standard",VLOOKUP($B151,$A$211:$J$218,6,FALSE),VLOOKUP($B151,$A$211:$J$218,10,FALSE))</f>
        <v>0</v>
      </c>
      <c r="AH151" s="163">
        <v>180</v>
      </c>
      <c r="AI151" s="75">
        <v>6</v>
      </c>
      <c r="AJ151" s="74"/>
      <c r="AK151" s="74"/>
      <c r="AL151" s="74"/>
    </row>
    <row r="152" spans="1:38" x14ac:dyDescent="0.25">
      <c r="A152" s="74" t="s">
        <v>343</v>
      </c>
      <c r="B152" s="75" t="s">
        <v>386</v>
      </c>
      <c r="C152" s="74" t="s">
        <v>344</v>
      </c>
      <c r="D152" s="74" t="s">
        <v>344</v>
      </c>
      <c r="E152" s="75" t="s">
        <v>2936</v>
      </c>
      <c r="F152" s="136">
        <v>2</v>
      </c>
      <c r="G152" s="243">
        <f>VLOOKUP(D152,Engines_all!$A$3:$AZ$843,52,FALSE)</f>
        <v>0</v>
      </c>
      <c r="H152" s="74">
        <f>ALECA_Input!K71</f>
        <v>0</v>
      </c>
      <c r="I152" s="82">
        <f t="shared" si="225"/>
        <v>0</v>
      </c>
      <c r="J152" s="82">
        <f t="shared" si="226"/>
        <v>0</v>
      </c>
      <c r="K152" s="82">
        <f t="shared" si="227"/>
        <v>0</v>
      </c>
      <c r="L152" s="82">
        <f t="shared" si="228"/>
        <v>0</v>
      </c>
      <c r="M152" s="161">
        <f t="shared" si="229"/>
        <v>0</v>
      </c>
      <c r="N152" s="82">
        <f t="shared" si="230"/>
        <v>0</v>
      </c>
      <c r="O152" s="82">
        <f t="shared" si="231"/>
        <v>0</v>
      </c>
      <c r="P152" s="262">
        <f t="shared" si="232"/>
        <v>0</v>
      </c>
      <c r="Q152" s="76">
        <f>VLOOKUP($D152,Engines_all!$A$3:'Engines_all'!$V$843,11,FALSE)</f>
        <v>12.846</v>
      </c>
      <c r="R152" s="78">
        <f>VLOOKUP($D152,Engines_all!$A$3:'Engines_all'!$V$843,12,FALSE)</f>
        <v>7.8862200000000007E-2</v>
      </c>
      <c r="S152" s="78">
        <f>VLOOKUP($D152,Engines_all!$A$3:'Engines_all'!$V$843,13,FALSE)</f>
        <v>1.7739000000000001E-3</v>
      </c>
      <c r="T152" s="78">
        <f>VLOOKUP($D152,Engines_all!$A$3:'Engines_all'!$V$843,14,FALSE)</f>
        <v>3.8863200000000007E-2</v>
      </c>
      <c r="U152" s="78">
        <f>VLOOKUP($D152,Engines_all!$A$3:'Engines_all'!$V$843,15,FALSE)</f>
        <v>3.5293936350000001E-3</v>
      </c>
      <c r="V152" s="222">
        <f>VLOOKUP($D152,Engines_all!$A$3:'Engines_all'!$V$843,16,FALSE)</f>
        <v>7.8744875363047968E+16</v>
      </c>
      <c r="W152" s="77">
        <f t="shared" si="233"/>
        <v>6.4229999999999999E-3</v>
      </c>
      <c r="X152" s="78">
        <f>IF(E152="K",Q152*'Rest Calc'!B$16,Q152*'Rest Calc'!B$17)</f>
        <v>40.593360000000004</v>
      </c>
      <c r="Y152" s="76">
        <f>VLOOKUP($D152,Engines_all!$A$3:'Engines_all'!$V$843,17,FALSE)</f>
        <v>510.62986315222315</v>
      </c>
      <c r="Z152" s="76">
        <f>VLOOKUP($D152,Engines_all!$A$3:'Engines_all'!$V$843,18,FALSE)</f>
        <v>1.3371428571428605</v>
      </c>
      <c r="AA152" s="76">
        <f>VLOOKUP($D152,Engines_all!$A$3:'Engines_all'!$V$843,19,FALSE)</f>
        <v>2.964132731686449</v>
      </c>
      <c r="AB152" s="76">
        <f>VLOOKUP($D152,Engines_all!$A$3:'Engines_all'!$V$843,20,FALSE)</f>
        <v>31.043895341904893</v>
      </c>
      <c r="AC152" s="76">
        <f>VLOOKUP($D152,Engines_all!$A$3:'Engines_all'!$V$843,21,FALSE)</f>
        <v>0.12830900926928338</v>
      </c>
      <c r="AD152" s="222">
        <f>VLOOKUP($D152,Engines_all!$A$3:'Engines_all'!$V$843,22,FALSE)</f>
        <v>4818026476295368</v>
      </c>
      <c r="AE152" s="80">
        <f t="shared" si="234"/>
        <v>0.25531493157611157</v>
      </c>
      <c r="AF152" s="79">
        <f>IF(E152="K",Y152*'Rest Calc'!B$16,Y152*'Rest Calc'!B$17)</f>
        <v>1613.5903675610252</v>
      </c>
      <c r="AG152" s="79">
        <f>IF(ALECA_Input!D$121="Standard",VLOOKUP($B152,$A$211:$J$218,6,FALSE),VLOOKUP($B152,$A$211:$J$218,10,FALSE))</f>
        <v>0</v>
      </c>
      <c r="AH152" s="163">
        <v>180</v>
      </c>
      <c r="AI152" s="75">
        <v>6</v>
      </c>
      <c r="AJ152" s="74"/>
      <c r="AK152" s="74"/>
      <c r="AL152" s="74"/>
    </row>
    <row r="153" spans="1:38" x14ac:dyDescent="0.25">
      <c r="A153" s="74" t="s">
        <v>488</v>
      </c>
      <c r="B153" s="75" t="s">
        <v>395</v>
      </c>
      <c r="C153" s="74" t="s">
        <v>220</v>
      </c>
      <c r="D153" s="74" t="s">
        <v>660</v>
      </c>
      <c r="E153" s="75" t="s">
        <v>2936</v>
      </c>
      <c r="F153" s="136">
        <v>4</v>
      </c>
      <c r="G153" s="243">
        <f>VLOOKUP(D153,Engines_all!$A$3:$AZ$843,52,FALSE)</f>
        <v>31</v>
      </c>
      <c r="H153" s="74">
        <f>ALECA_Input!K72</f>
        <v>0</v>
      </c>
      <c r="I153" s="82">
        <f t="shared" si="225"/>
        <v>0</v>
      </c>
      <c r="J153" s="82">
        <f t="shared" si="226"/>
        <v>0</v>
      </c>
      <c r="K153" s="82">
        <f t="shared" si="227"/>
        <v>0</v>
      </c>
      <c r="L153" s="82">
        <f t="shared" si="228"/>
        <v>0</v>
      </c>
      <c r="M153" s="161">
        <f t="shared" si="229"/>
        <v>0</v>
      </c>
      <c r="N153" s="82">
        <f t="shared" si="230"/>
        <v>0</v>
      </c>
      <c r="O153" s="82">
        <f t="shared" si="231"/>
        <v>0</v>
      </c>
      <c r="P153" s="262">
        <f t="shared" si="232"/>
        <v>0</v>
      </c>
      <c r="Q153" s="76">
        <f>VLOOKUP($D153,Engines_all!$A$3:'Engines_all'!$V$843,11,FALSE)</f>
        <v>80.104799999999997</v>
      </c>
      <c r="R153" s="78">
        <f>VLOOKUP($D153,Engines_all!$A$3:'Engines_all'!$V$843,12,FALSE)</f>
        <v>0.85409373600000005</v>
      </c>
      <c r="S153" s="78">
        <f>VLOOKUP($D153,Engines_all!$A$3:'Engines_all'!$V$843,13,FALSE)</f>
        <v>3.6601679999999997E-3</v>
      </c>
      <c r="T153" s="78">
        <f>VLOOKUP($D153,Engines_all!$A$3:'Engines_all'!$V$843,14,FALSE)</f>
        <v>0.12987563999999999</v>
      </c>
      <c r="U153" s="78">
        <f>VLOOKUP($D153,Engines_all!$A$3:'Engines_all'!$V$843,15,FALSE)</f>
        <v>9.9917995506837547E-3</v>
      </c>
      <c r="V153" s="222">
        <f>VLOOKUP($D153,Engines_all!$A$3:'Engines_all'!$V$843,16,FALSE)</f>
        <v>1.3548422392300227E+17</v>
      </c>
      <c r="W153" s="77">
        <f t="shared" si="233"/>
        <v>4.0052400000000002E-2</v>
      </c>
      <c r="X153" s="78">
        <f>IF(E153="K",Q153*'Rest Calc'!B$16,Q153*'Rest Calc'!B$17)</f>
        <v>253.131168</v>
      </c>
      <c r="Y153" s="76">
        <f>VLOOKUP($D153,Engines_all!$A$3:'Engines_all'!$V$843,17,FALSE)</f>
        <v>2718</v>
      </c>
      <c r="Z153" s="76">
        <f>VLOOKUP($D153,Engines_all!$A$3:'Engines_all'!$V$843,18,FALSE)</f>
        <v>8.9150400000000012</v>
      </c>
      <c r="AA153" s="76">
        <f>VLOOKUP($D153,Engines_all!$A$3:'Engines_all'!$V$843,19,FALSE)</f>
        <v>12.828959999999999</v>
      </c>
      <c r="AB153" s="76">
        <f>VLOOKUP($D153,Engines_all!$A$3:'Engines_all'!$V$843,20,FALSE)</f>
        <v>102.82194</v>
      </c>
      <c r="AC153" s="76">
        <f>VLOOKUP($D153,Engines_all!$A$3:'Engines_all'!$V$843,21,FALSE)</f>
        <v>0.50705815781446373</v>
      </c>
      <c r="AD153" s="222">
        <f>VLOOKUP($D153,Engines_all!$A$3:'Engines_all'!$V$843,22,FALSE)</f>
        <v>1.4876391173064362E+16</v>
      </c>
      <c r="AE153" s="80">
        <f t="shared" si="234"/>
        <v>1.359</v>
      </c>
      <c r="AF153" s="79">
        <f>IF(E153="K",Y153*'Rest Calc'!B$16,Y153*'Rest Calc'!B$17)</f>
        <v>8588.880000000001</v>
      </c>
      <c r="AG153" s="79">
        <f>IF(ALECA_Input!D$121="Standard",VLOOKUP($B153,$A$211:$J$218,6,FALSE),VLOOKUP($B153,$A$211:$J$218,10,FALSE))</f>
        <v>0</v>
      </c>
      <c r="AH153" s="163">
        <f>G153/2+80</f>
        <v>95.5</v>
      </c>
      <c r="AI153" s="75">
        <v>4</v>
      </c>
      <c r="AJ153" s="74"/>
      <c r="AK153" s="74"/>
      <c r="AL153" s="74"/>
    </row>
    <row r="154" spans="1:38" x14ac:dyDescent="0.25">
      <c r="A154" s="397" t="s">
        <v>345</v>
      </c>
      <c r="B154" s="75" t="s">
        <v>384</v>
      </c>
      <c r="C154" s="74" t="s">
        <v>1017</v>
      </c>
      <c r="D154" s="74" t="s">
        <v>1016</v>
      </c>
      <c r="E154" s="75" t="s">
        <v>2937</v>
      </c>
      <c r="F154" s="136">
        <v>1</v>
      </c>
      <c r="G154" s="243">
        <f>VLOOKUP(D154,Engines_all!$A$3:$AZ$843,52,FALSE)</f>
        <v>0</v>
      </c>
      <c r="H154" s="74">
        <f>ALECA_Input!K73</f>
        <v>0</v>
      </c>
      <c r="I154" s="82">
        <f t="shared" si="225"/>
        <v>0</v>
      </c>
      <c r="J154" s="82">
        <f t="shared" si="226"/>
        <v>0</v>
      </c>
      <c r="K154" s="82">
        <f t="shared" si="227"/>
        <v>0</v>
      </c>
      <c r="L154" s="82">
        <f t="shared" si="228"/>
        <v>0</v>
      </c>
      <c r="M154" s="161">
        <f t="shared" si="229"/>
        <v>0</v>
      </c>
      <c r="N154" s="82">
        <f t="shared" si="230"/>
        <v>0</v>
      </c>
      <c r="O154" s="82">
        <f t="shared" si="231"/>
        <v>0</v>
      </c>
      <c r="P154" s="262">
        <f t="shared" si="232"/>
        <v>0</v>
      </c>
      <c r="Q154" s="76">
        <f>VLOOKUP($D154,Engines_all!$A$3:'Engines_all'!$V$843,11,FALSE)</f>
        <v>6</v>
      </c>
      <c r="R154" s="78">
        <f>VLOOKUP($D154,Engines_all!$A$3:'Engines_all'!$V$843,12,FALSE)</f>
        <v>1.5306E-2</v>
      </c>
      <c r="S154" s="78">
        <f>VLOOKUP($D154,Engines_all!$A$3:'Engines_all'!$V$843,13,FALSE)</f>
        <v>7.8803999999999999E-2</v>
      </c>
      <c r="T154" s="78">
        <f>VLOOKUP($D154,Engines_all!$A$3:'Engines_all'!$V$843,14,FALSE)</f>
        <v>6</v>
      </c>
      <c r="U154" s="78">
        <f>VLOOKUP($D154,Engines_all!$A$3:'Engines_all'!$V$843,15,FALSE)</f>
        <v>8.2859545500000003E-3</v>
      </c>
      <c r="V154" s="222">
        <f>VLOOKUP($D154,Engines_all!$A$3:'Engines_all'!$V$843,16,FALSE)</f>
        <v>2042494671884118.8</v>
      </c>
      <c r="W154" s="77">
        <f t="shared" si="233"/>
        <v>3.0000000000000001E-3</v>
      </c>
      <c r="X154" s="78">
        <f>IF(E154="K",Q154*'Rest Calc'!B$16,Q154*'Rest Calc'!B$17)</f>
        <v>18.299999999999997</v>
      </c>
      <c r="Y154" s="76">
        <f>VLOOKUP($D154,Engines_all!$A$3:'Engines_all'!$V$843,17,FALSE)</f>
        <v>180</v>
      </c>
      <c r="Z154" s="76">
        <f>VLOOKUP($D154,Engines_all!$A$3:'Engines_all'!$V$843,18,FALSE)</f>
        <v>0.18</v>
      </c>
      <c r="AA154" s="76">
        <f>VLOOKUP($D154,Engines_all!$A$3:'Engines_all'!$V$843,19,FALSE)</f>
        <v>3.7439999999999998</v>
      </c>
      <c r="AB154" s="76">
        <f>VLOOKUP($D154,Engines_all!$A$3:'Engines_all'!$V$843,20,FALSE)</f>
        <v>180</v>
      </c>
      <c r="AC154" s="76">
        <f>VLOOKUP($D154,Engines_all!$A$3:'Engines_all'!$V$843,21,FALSE)</f>
        <v>5.8913279999999991E-2</v>
      </c>
      <c r="AD154" s="222">
        <f>VLOOKUP($D154,Engines_all!$A$3:'Engines_all'!$V$843,22,FALSE)</f>
        <v>104043330402088.77</v>
      </c>
      <c r="AE154" s="80">
        <f t="shared" si="234"/>
        <v>0.09</v>
      </c>
      <c r="AF154" s="79">
        <f>IF(E154="K",Y154*'Rest Calc'!B$16,Y154*'Rest Calc'!B$17)</f>
        <v>549</v>
      </c>
      <c r="AG154" s="79">
        <f>IF(ALECA_Input!D$121="Standard",VLOOKUP($B154,$A$211:$J$218,6,FALSE),VLOOKUP($B154,$A$211:$J$218,10,FALSE))</f>
        <v>5</v>
      </c>
      <c r="AH154" s="163">
        <f>G154/2+80</f>
        <v>80</v>
      </c>
      <c r="AI154" s="75">
        <v>8</v>
      </c>
      <c r="AJ154" s="74"/>
      <c r="AK154" s="74"/>
      <c r="AL154" s="74"/>
    </row>
    <row r="155" spans="1:38" x14ac:dyDescent="0.25">
      <c r="A155" s="74" t="s">
        <v>3295</v>
      </c>
      <c r="B155" s="75" t="s">
        <v>396</v>
      </c>
      <c r="C155" s="74" t="s">
        <v>2589</v>
      </c>
      <c r="D155" s="74" t="s">
        <v>2588</v>
      </c>
      <c r="E155" s="75" t="s">
        <v>2936</v>
      </c>
      <c r="F155" s="136">
        <v>2</v>
      </c>
      <c r="G155" s="243">
        <f>VLOOKUP(D155,Engines_all!$A$3:$AZ$843,52,FALSE)</f>
        <v>72.67</v>
      </c>
      <c r="H155" s="74">
        <f>ALECA_Input!K74</f>
        <v>0</v>
      </c>
      <c r="I155" s="82">
        <f t="shared" si="225"/>
        <v>0</v>
      </c>
      <c r="J155" s="82">
        <f t="shared" si="226"/>
        <v>0</v>
      </c>
      <c r="K155" s="82">
        <f t="shared" si="227"/>
        <v>0</v>
      </c>
      <c r="L155" s="82">
        <f t="shared" si="228"/>
        <v>0</v>
      </c>
      <c r="M155" s="161">
        <f t="shared" si="229"/>
        <v>0</v>
      </c>
      <c r="N155" s="82">
        <f t="shared" si="230"/>
        <v>0</v>
      </c>
      <c r="O155" s="82">
        <f t="shared" si="231"/>
        <v>0</v>
      </c>
      <c r="P155" s="262">
        <f t="shared" si="232"/>
        <v>0</v>
      </c>
      <c r="Q155" s="76">
        <f>VLOOKUP($D155,Engines_all!$A$3:'Engines_all'!$V$843,11,FALSE)</f>
        <v>183.654</v>
      </c>
      <c r="R155" s="78">
        <f>VLOOKUP($D155,Engines_all!$A$3:'Engines_all'!$V$843,12,FALSE)</f>
        <v>2.3534217599999998</v>
      </c>
      <c r="S155" s="78">
        <f>VLOOKUP($D155,Engines_all!$A$3:'Engines_all'!$V$843,13,FALSE)</f>
        <v>7.7821199999999991E-3</v>
      </c>
      <c r="T155" s="78">
        <f>VLOOKUP($D155,Engines_all!$A$3:'Engines_all'!$V$843,14,FALSE)</f>
        <v>0.30471059999999994</v>
      </c>
      <c r="U155" s="78">
        <f>VLOOKUP($D155,Engines_all!$A$3:'Engines_all'!$V$843,15,FALSE)</f>
        <v>6.2346068937896057E-2</v>
      </c>
      <c r="V155" s="222">
        <f>VLOOKUP($D155,Engines_all!$A$3:'Engines_all'!$V$843,16,FALSE)</f>
        <v>3.7057464688544768E+17</v>
      </c>
      <c r="W155" s="77">
        <f t="shared" si="233"/>
        <v>9.1827000000000006E-2</v>
      </c>
      <c r="X155" s="78">
        <f>IF(E155="K",Q155*'Rest Calc'!B$16,Q155*'Rest Calc'!B$17)</f>
        <v>580.34663999999998</v>
      </c>
      <c r="Y155" s="76">
        <f>VLOOKUP($D155,Engines_all!$A$3:'Engines_all'!$V$843,17,FALSE)</f>
        <v>6000</v>
      </c>
      <c r="Z155" s="76">
        <f>VLOOKUP($D155,Engines_all!$A$3:'Engines_all'!$V$843,18,FALSE)</f>
        <v>22.919999999999998</v>
      </c>
      <c r="AA155" s="76">
        <f>VLOOKUP($D155,Engines_all!$A$3:'Engines_all'!$V$843,19,FALSE)</f>
        <v>4.92</v>
      </c>
      <c r="AB155" s="76">
        <f>VLOOKUP($D155,Engines_all!$A$3:'Engines_all'!$V$843,20,FALSE)</f>
        <v>165.3</v>
      </c>
      <c r="AC155" s="76">
        <f>VLOOKUP($D155,Engines_all!$A$3:'Engines_all'!$V$843,21,FALSE)</f>
        <v>0.43811401559318991</v>
      </c>
      <c r="AD155" s="222">
        <f>VLOOKUP($D155,Engines_all!$A$3:'Engines_all'!$V$843,22,FALSE)</f>
        <v>5752033385110144</v>
      </c>
      <c r="AE155" s="80">
        <f t="shared" si="234"/>
        <v>3</v>
      </c>
      <c r="AF155" s="79">
        <f>IF(E155="K",Y155*'Rest Calc'!B$16,Y155*'Rest Calc'!B$17)</f>
        <v>18960</v>
      </c>
      <c r="AG155" s="79">
        <f>IF(ALECA_Input!D$121="Standard",VLOOKUP($B155,$A$211:$J$218,6,FALSE),VLOOKUP($B155,$A$211:$J$218,10,FALSE))</f>
        <v>0</v>
      </c>
      <c r="AH155" s="163">
        <f>G155/2+80</f>
        <v>116.33500000000001</v>
      </c>
      <c r="AI155" s="75">
        <v>5</v>
      </c>
      <c r="AJ155" s="74"/>
      <c r="AK155" s="74"/>
      <c r="AL155" s="74"/>
    </row>
    <row r="156" spans="1:38" x14ac:dyDescent="0.25">
      <c r="A156" s="74" t="s">
        <v>346</v>
      </c>
      <c r="B156" s="75" t="s">
        <v>384</v>
      </c>
      <c r="C156" s="74" t="s">
        <v>347</v>
      </c>
      <c r="D156" s="74" t="s">
        <v>1001</v>
      </c>
      <c r="E156" s="75" t="s">
        <v>2936</v>
      </c>
      <c r="F156" s="136">
        <v>2</v>
      </c>
      <c r="G156" s="243">
        <f>VLOOKUP(D156,Engines_all!$A$3:$AZ$843,52,FALSE)</f>
        <v>0</v>
      </c>
      <c r="H156" s="74">
        <f>ALECA_Input!K75</f>
        <v>0</v>
      </c>
      <c r="I156" s="82">
        <f t="shared" si="225"/>
        <v>0</v>
      </c>
      <c r="J156" s="82">
        <f t="shared" si="226"/>
        <v>0</v>
      </c>
      <c r="K156" s="82">
        <f t="shared" si="227"/>
        <v>0</v>
      </c>
      <c r="L156" s="82">
        <f t="shared" si="228"/>
        <v>0</v>
      </c>
      <c r="M156" s="161">
        <f t="shared" si="229"/>
        <v>0</v>
      </c>
      <c r="N156" s="82">
        <f t="shared" si="230"/>
        <v>0</v>
      </c>
      <c r="O156" s="82">
        <f t="shared" si="231"/>
        <v>0</v>
      </c>
      <c r="P156" s="262">
        <f t="shared" si="232"/>
        <v>0</v>
      </c>
      <c r="Q156" s="76">
        <f>VLOOKUP($D156,Engines_all!$A$3:'Engines_all'!$V$843,11,FALSE)</f>
        <v>31.529999999999998</v>
      </c>
      <c r="R156" s="78">
        <f>VLOOKUP($D156,Engines_all!$A$3:'Engines_all'!$V$843,12,FALSE)</f>
        <v>0.17838899999999999</v>
      </c>
      <c r="S156" s="78">
        <f>VLOOKUP($D156,Engines_all!$A$3:'Engines_all'!$V$843,13,FALSE)</f>
        <v>1.5419999999999998E-2</v>
      </c>
      <c r="T156" s="78">
        <f>VLOOKUP($D156,Engines_all!$A$3:'Engines_all'!$V$843,14,FALSE)</f>
        <v>0.103977</v>
      </c>
      <c r="U156" s="78">
        <f>VLOOKUP($D156,Engines_all!$A$3:'Engines_all'!$V$843,15,FALSE)</f>
        <v>1.2731677800000001E-2</v>
      </c>
      <c r="V156" s="222">
        <f>VLOOKUP($D156,Engines_all!$A$3:'Engines_all'!$V$843,16,FALSE)</f>
        <v>7.59222E+17</v>
      </c>
      <c r="W156" s="77">
        <f t="shared" si="233"/>
        <v>1.5764999999999998E-2</v>
      </c>
      <c r="X156" s="78">
        <f>IF(E156="K",Q156*'Rest Calc'!B$16,Q156*'Rest Calc'!B$17)</f>
        <v>99.634799999999998</v>
      </c>
      <c r="Y156" s="76">
        <f>VLOOKUP($D156,Engines_all!$A$3:'Engines_all'!$V$843,17,FALSE)</f>
        <v>1559.9999999999998</v>
      </c>
      <c r="Z156" s="76">
        <f>VLOOKUP($D156,Engines_all!$A$3:'Engines_all'!$V$843,18,FALSE)</f>
        <v>3.4319999999999999</v>
      </c>
      <c r="AA156" s="76">
        <f>VLOOKUP($D156,Engines_all!$A$3:'Engines_all'!$V$843,19,FALSE)</f>
        <v>1.5599999999999998</v>
      </c>
      <c r="AB156" s="76">
        <f>VLOOKUP($D156,Engines_all!$A$3:'Engines_all'!$V$843,20,FALSE)</f>
        <v>24.959999999999997</v>
      </c>
      <c r="AC156" s="76">
        <f>VLOOKUP($D156,Engines_all!$A$3:'Engines_all'!$V$843,21,FALSE)</f>
        <v>0.15854279999999998</v>
      </c>
      <c r="AD156" s="222">
        <f>VLOOKUP($D156,Engines_all!$A$3:'Engines_all'!$V$843,22,FALSE)</f>
        <v>3.2213999999999996E+16</v>
      </c>
      <c r="AE156" s="80">
        <f t="shared" si="234"/>
        <v>0.77999999999999992</v>
      </c>
      <c r="AF156" s="79">
        <f>IF(E156="K",Y156*'Rest Calc'!B$16,Y156*'Rest Calc'!B$17)</f>
        <v>4929.5999999999995</v>
      </c>
      <c r="AG156" s="79">
        <f>IF(ALECA_Input!D$121="Standard",VLOOKUP($B156,$A$211:$J$218,6,FALSE),VLOOKUP($B156,$A$211:$J$218,10,FALSE))</f>
        <v>5</v>
      </c>
      <c r="AH156" s="163">
        <f>G156/2+80</f>
        <v>80</v>
      </c>
      <c r="AI156" s="75">
        <v>8</v>
      </c>
      <c r="AJ156" s="74"/>
      <c r="AK156" s="74"/>
      <c r="AL156" s="74"/>
    </row>
    <row r="157" spans="1:38" x14ac:dyDescent="0.25">
      <c r="A157" s="74" t="s">
        <v>348</v>
      </c>
      <c r="B157" s="75" t="s">
        <v>384</v>
      </c>
      <c r="C157" s="74" t="s">
        <v>349</v>
      </c>
      <c r="D157" s="74" t="s">
        <v>825</v>
      </c>
      <c r="E157" s="75" t="s">
        <v>2936</v>
      </c>
      <c r="F157" s="136">
        <v>2</v>
      </c>
      <c r="G157" s="243">
        <f>VLOOKUP(D157,Engines_all!$A$3:$AZ$843,52,FALSE)</f>
        <v>0</v>
      </c>
      <c r="H157" s="74">
        <f>ALECA_Input!K76</f>
        <v>0</v>
      </c>
      <c r="I157" s="82">
        <f t="shared" si="225"/>
        <v>0</v>
      </c>
      <c r="J157" s="82">
        <f t="shared" si="226"/>
        <v>0</v>
      </c>
      <c r="K157" s="82">
        <f t="shared" si="227"/>
        <v>0</v>
      </c>
      <c r="L157" s="82">
        <f t="shared" si="228"/>
        <v>0</v>
      </c>
      <c r="M157" s="161">
        <f t="shared" si="229"/>
        <v>0</v>
      </c>
      <c r="N157" s="82">
        <f t="shared" si="230"/>
        <v>0</v>
      </c>
      <c r="O157" s="82">
        <f t="shared" si="231"/>
        <v>0</v>
      </c>
      <c r="P157" s="262">
        <f t="shared" si="232"/>
        <v>0</v>
      </c>
      <c r="Q157" s="76">
        <f>VLOOKUP($D157,Engines_all!$A$3:'Engines_all'!$V$843,11,FALSE)</f>
        <v>22.557000000000002</v>
      </c>
      <c r="R157" s="78">
        <f>VLOOKUP($D157,Engines_all!$A$3:'Engines_all'!$V$843,12,FALSE)</f>
        <v>0.21139800000000003</v>
      </c>
      <c r="S157" s="78">
        <f>VLOOKUP($D157,Engines_all!$A$3:'Engines_all'!$V$843,13,FALSE)</f>
        <v>0.12211890000000002</v>
      </c>
      <c r="T157" s="78">
        <f>VLOOKUP($D157,Engines_all!$A$3:'Engines_all'!$V$843,14,FALSE)</f>
        <v>8.6866199999999991E-2</v>
      </c>
      <c r="U157" s="78">
        <f>VLOOKUP($D157,Engines_all!$A$3:'Engines_all'!$V$843,15,FALSE)</f>
        <v>1.4934381494999999E-2</v>
      </c>
      <c r="V157" s="222">
        <f>VLOOKUP($D157,Engines_all!$A$3:'Engines_all'!$V$843,16,FALSE)</f>
        <v>1.3343047006445005E+18</v>
      </c>
      <c r="W157" s="77">
        <f t="shared" si="233"/>
        <v>1.1278500000000002E-2</v>
      </c>
      <c r="X157" s="78">
        <f>IF(E157="K",Q157*'Rest Calc'!B$16,Q157*'Rest Calc'!B$17)</f>
        <v>71.280120000000011</v>
      </c>
      <c r="Y157" s="76">
        <f>VLOOKUP($D157,Engines_all!$A$3:'Engines_all'!$V$843,17,FALSE)</f>
        <v>1542</v>
      </c>
      <c r="Z157" s="76">
        <f>VLOOKUP($D157,Engines_all!$A$3:'Engines_all'!$V$843,18,FALSE)</f>
        <v>9.5604000000000013</v>
      </c>
      <c r="AA157" s="76">
        <f>VLOOKUP($D157,Engines_all!$A$3:'Engines_all'!$V$843,19,FALSE)</f>
        <v>26.368200000000002</v>
      </c>
      <c r="AB157" s="76">
        <f>VLOOKUP($D157,Engines_all!$A$3:'Engines_all'!$V$843,20,FALSE)</f>
        <v>27.293399999999998</v>
      </c>
      <c r="AC157" s="76">
        <f>VLOOKUP($D157,Engines_all!$A$3:'Engines_all'!$V$843,21,FALSE)</f>
        <v>0.520374114</v>
      </c>
      <c r="AD157" s="222">
        <f>VLOOKUP($D157,Engines_all!$A$3:'Engines_all'!$V$843,22,FALSE)</f>
        <v>1.463698782E+17</v>
      </c>
      <c r="AE157" s="80">
        <f t="shared" si="234"/>
        <v>0.77100000000000002</v>
      </c>
      <c r="AF157" s="79">
        <f>IF(E157="K",Y157*'Rest Calc'!B$16,Y157*'Rest Calc'!B$17)</f>
        <v>4872.72</v>
      </c>
      <c r="AG157" s="79">
        <f>IF(ALECA_Input!D$121="Standard",VLOOKUP($B157,$A$211:$J$218,6,FALSE),VLOOKUP($B157,$A$211:$J$218,10,FALSE))</f>
        <v>5</v>
      </c>
      <c r="AH157" s="163">
        <v>90</v>
      </c>
      <c r="AI157" s="75">
        <v>8</v>
      </c>
      <c r="AJ157" s="74"/>
      <c r="AK157" s="74"/>
      <c r="AL157" s="74"/>
    </row>
    <row r="158" spans="1:38" x14ac:dyDescent="0.25">
      <c r="A158" s="74" t="s">
        <v>350</v>
      </c>
      <c r="B158" s="75" t="s">
        <v>386</v>
      </c>
      <c r="C158" s="74" t="s">
        <v>351</v>
      </c>
      <c r="D158" s="74" t="s">
        <v>2749</v>
      </c>
      <c r="E158" s="75" t="s">
        <v>2936</v>
      </c>
      <c r="F158" s="136">
        <v>2</v>
      </c>
      <c r="G158" s="243">
        <f>VLOOKUP(D158,Engines_all!$A$3:$AZ$843,52,FALSE)</f>
        <v>0</v>
      </c>
      <c r="H158" s="74">
        <f>ALECA_Input!K77</f>
        <v>0</v>
      </c>
      <c r="I158" s="82">
        <f t="shared" si="225"/>
        <v>0</v>
      </c>
      <c r="J158" s="82">
        <f t="shared" si="226"/>
        <v>0</v>
      </c>
      <c r="K158" s="82">
        <f t="shared" si="227"/>
        <v>0</v>
      </c>
      <c r="L158" s="82">
        <f t="shared" si="228"/>
        <v>0</v>
      </c>
      <c r="M158" s="161">
        <f t="shared" si="229"/>
        <v>0</v>
      </c>
      <c r="N158" s="82">
        <f t="shared" si="230"/>
        <v>0</v>
      </c>
      <c r="O158" s="82">
        <f t="shared" si="231"/>
        <v>0</v>
      </c>
      <c r="P158" s="262">
        <f t="shared" si="232"/>
        <v>0</v>
      </c>
      <c r="Q158" s="76">
        <f>VLOOKUP($D158,Engines_all!$A$3:'Engines_all'!$V$843,11,FALSE)</f>
        <v>67.62</v>
      </c>
      <c r="R158" s="78">
        <f>VLOOKUP($D158,Engines_all!$A$3:'Engines_all'!$V$843,12,FALSE)</f>
        <v>0.64956361200000001</v>
      </c>
      <c r="S158" s="78">
        <f>VLOOKUP($D158,Engines_all!$A$3:'Engines_all'!$V$843,13,FALSE)</f>
        <v>3.3919199999999997E-3</v>
      </c>
      <c r="T158" s="78">
        <f>VLOOKUP($D158,Engines_all!$A$3:'Engines_all'!$V$843,14,FALSE)</f>
        <v>0.219338328</v>
      </c>
      <c r="U158" s="78">
        <f>VLOOKUP($D158,Engines_all!$A$3:'Engines_all'!$V$843,15,FALSE)</f>
        <v>3.3949843440000002E-2</v>
      </c>
      <c r="V158" s="222">
        <f>VLOOKUP($D158,Engines_all!$A$3:'Engines_all'!$V$843,16,FALSE)</f>
        <v>8.4136599418709274E+17</v>
      </c>
      <c r="W158" s="77">
        <f t="shared" si="233"/>
        <v>3.381E-2</v>
      </c>
      <c r="X158" s="78">
        <f>IF(E158="K",Q158*'Rest Calc'!B$16,Q158*'Rest Calc'!B$17)</f>
        <v>213.67920000000004</v>
      </c>
      <c r="Y158" s="76">
        <f>VLOOKUP($D158,Engines_all!$A$3:'Engines_all'!$V$843,17,FALSE)</f>
        <v>3126</v>
      </c>
      <c r="Z158" s="76">
        <f>VLOOKUP($D158,Engines_all!$A$3:'Engines_all'!$V$843,18,FALSE)</f>
        <v>7.5367860000000002</v>
      </c>
      <c r="AA158" s="76">
        <f>VLOOKUP($D158,Engines_all!$A$3:'Engines_all'!$V$843,19,FALSE)</f>
        <v>3.554262</v>
      </c>
      <c r="AB158" s="76">
        <f>VLOOKUP($D158,Engines_all!$A$3:'Engines_all'!$V$843,20,FALSE)</f>
        <v>53.948507999999997</v>
      </c>
      <c r="AC158" s="76">
        <f>VLOOKUP($D158,Engines_all!$A$3:'Engines_all'!$V$843,21,FALSE)</f>
        <v>1.11277875654</v>
      </c>
      <c r="AD158" s="222">
        <f>VLOOKUP($D158,Engines_all!$A$3:'Engines_all'!$V$843,22,FALSE)</f>
        <v>5.314457798821364E+16</v>
      </c>
      <c r="AE158" s="80">
        <f t="shared" si="234"/>
        <v>1.5629999999999999</v>
      </c>
      <c r="AF158" s="79">
        <f>IF(E158="K",Y158*'Rest Calc'!B$16,Y158*'Rest Calc'!B$17)</f>
        <v>9878.16</v>
      </c>
      <c r="AG158" s="79">
        <f>IF(ALECA_Input!D$121="Standard",VLOOKUP($B158,$A$211:$J$218,6,FALSE),VLOOKUP($B158,$A$211:$J$218,10,FALSE))</f>
        <v>0</v>
      </c>
      <c r="AH158" s="163">
        <v>180</v>
      </c>
      <c r="AI158" s="75">
        <v>6</v>
      </c>
      <c r="AJ158" s="74"/>
      <c r="AK158" s="74"/>
      <c r="AL158" s="74"/>
    </row>
    <row r="159" spans="1:38" x14ac:dyDescent="0.25">
      <c r="A159" s="74" t="s">
        <v>352</v>
      </c>
      <c r="B159" s="75" t="s">
        <v>386</v>
      </c>
      <c r="C159" s="74" t="s">
        <v>353</v>
      </c>
      <c r="D159" s="74" t="s">
        <v>2713</v>
      </c>
      <c r="E159" s="75" t="s">
        <v>2936</v>
      </c>
      <c r="F159" s="136">
        <v>2</v>
      </c>
      <c r="G159" s="243">
        <f>VLOOKUP(D159,Engines_all!$A$3:$AZ$843,52,FALSE)</f>
        <v>0</v>
      </c>
      <c r="H159" s="74">
        <f>ALECA_Input!K78</f>
        <v>0</v>
      </c>
      <c r="I159" s="82">
        <f t="shared" ref="I159:I169" si="235">$H159/2*$F159*(R159+(Z159*$AG159/1000))</f>
        <v>0</v>
      </c>
      <c r="J159" s="82">
        <f t="shared" ref="J159:J169" si="236">$H159/2*$F159*(S159+(AA159*$AG159/1000))</f>
        <v>0</v>
      </c>
      <c r="K159" s="82">
        <f t="shared" ref="K159:K169" si="237">$H159/2*$F159*(T159+(AB159*$AG159/1000))</f>
        <v>0</v>
      </c>
      <c r="L159" s="82">
        <f t="shared" ref="L159:L169" si="238">$H159/2*$F159*(U159+(AC159*$AG159/1000))</f>
        <v>0</v>
      </c>
      <c r="M159" s="161">
        <f t="shared" ref="M159:M169" si="239">H159/2*$F159*(V159+AD159*AG159)</f>
        <v>0</v>
      </c>
      <c r="N159" s="82">
        <f t="shared" ref="N159:N169" si="240">$H159/2*$F159*(W159+(AE159*$AG159/1000))</f>
        <v>0</v>
      </c>
      <c r="O159" s="82">
        <f t="shared" ref="O159:O169" si="241">$H159/2*$F159*(X159+(AF159*$AG159/1000))</f>
        <v>0</v>
      </c>
      <c r="P159" s="262">
        <f t="shared" ref="P159:P169" si="242">F159*H159/2*AH159/1000</f>
        <v>0</v>
      </c>
      <c r="Q159" s="76">
        <f>VLOOKUP($D159,Engines_all!$A$3:'Engines_all'!$V$843,11,FALSE)</f>
        <v>29.543999999999997</v>
      </c>
      <c r="R159" s="78">
        <f>VLOOKUP($D159,Engines_all!$A$3:'Engines_all'!$V$843,12,FALSE)</f>
        <v>0.32933921999999993</v>
      </c>
      <c r="S159" s="78">
        <f>VLOOKUP($D159,Engines_all!$A$3:'Engines_all'!$V$843,13,FALSE)</f>
        <v>4.6596059999999995E-2</v>
      </c>
      <c r="T159" s="78">
        <f>VLOOKUP($D159,Engines_all!$A$3:'Engines_all'!$V$843,14,FALSE)</f>
        <v>0.30232101</v>
      </c>
      <c r="U159" s="78">
        <f>VLOOKUP($D159,Engines_all!$A$3:'Engines_all'!$V$843,15,FALSE)</f>
        <v>1.52992237275E-2</v>
      </c>
      <c r="V159" s="222">
        <f>VLOOKUP($D159,Engines_all!$A$3:'Engines_all'!$V$843,16,FALSE)</f>
        <v>2.7814986158742336E+17</v>
      </c>
      <c r="W159" s="77">
        <f t="shared" ref="W159:W169" si="243">Q159*0.0005</f>
        <v>1.4771999999999999E-2</v>
      </c>
      <c r="X159" s="78">
        <f>IF(E159="K",Q159*'Rest Calc'!B$16,Q159*'Rest Calc'!B$17)</f>
        <v>93.359039999999993</v>
      </c>
      <c r="Y159" s="76">
        <f>VLOOKUP($D159,Engines_all!$A$3:'Engines_all'!$V$843,17,FALSE)</f>
        <v>1548</v>
      </c>
      <c r="Z159" s="76">
        <f>VLOOKUP($D159,Engines_all!$A$3:'Engines_all'!$V$843,18,FALSE)</f>
        <v>4.4272799999999997</v>
      </c>
      <c r="AA159" s="76">
        <f>VLOOKUP($D159,Engines_all!$A$3:'Engines_all'!$V$843,19,FALSE)</f>
        <v>7.1672399999999996</v>
      </c>
      <c r="AB159" s="76">
        <f>VLOOKUP($D159,Engines_all!$A$3:'Engines_all'!$V$843,20,FALSE)</f>
        <v>74.691000000000003</v>
      </c>
      <c r="AC159" s="76">
        <f>VLOOKUP($D159,Engines_all!$A$3:'Engines_all'!$V$843,21,FALSE)</f>
        <v>0.42187195080000006</v>
      </c>
      <c r="AD159" s="222">
        <f>VLOOKUP($D159,Engines_all!$A$3:'Engines_all'!$V$843,22,FALSE)</f>
        <v>1.7106229805419246E+16</v>
      </c>
      <c r="AE159" s="80">
        <f t="shared" ref="AE159:AE169" si="244">Y159*0.0005</f>
        <v>0.77400000000000002</v>
      </c>
      <c r="AF159" s="79">
        <f>IF(E159="K",Y159*'Rest Calc'!B$16,Y159*'Rest Calc'!B$17)</f>
        <v>4891.68</v>
      </c>
      <c r="AG159" s="79">
        <f>IF(ALECA_Input!D$121="Standard",VLOOKUP($B159,$A$211:$J$218,6,FALSE),VLOOKUP($B159,$A$211:$J$218,10,FALSE))</f>
        <v>0</v>
      </c>
      <c r="AH159" s="163">
        <v>180</v>
      </c>
      <c r="AI159" s="75">
        <v>6</v>
      </c>
      <c r="AJ159" s="74"/>
      <c r="AK159" s="74"/>
      <c r="AL159" s="74"/>
    </row>
    <row r="160" spans="1:38" x14ac:dyDescent="0.25">
      <c r="A160" s="74" t="s">
        <v>354</v>
      </c>
      <c r="B160" s="75" t="s">
        <v>384</v>
      </c>
      <c r="C160" s="74" t="s">
        <v>355</v>
      </c>
      <c r="D160" s="74" t="s">
        <v>1001</v>
      </c>
      <c r="E160" s="75" t="s">
        <v>2936</v>
      </c>
      <c r="F160" s="136">
        <v>2</v>
      </c>
      <c r="G160" s="243">
        <f>VLOOKUP(D160,Engines_all!$A$3:$AZ$843,52,FALSE)</f>
        <v>0</v>
      </c>
      <c r="H160" s="74">
        <f>ALECA_Input!K79</f>
        <v>0</v>
      </c>
      <c r="I160" s="82">
        <f t="shared" si="235"/>
        <v>0</v>
      </c>
      <c r="J160" s="82">
        <f t="shared" si="236"/>
        <v>0</v>
      </c>
      <c r="K160" s="82">
        <f t="shared" si="237"/>
        <v>0</v>
      </c>
      <c r="L160" s="82">
        <f t="shared" si="238"/>
        <v>0</v>
      </c>
      <c r="M160" s="161">
        <f t="shared" si="239"/>
        <v>0</v>
      </c>
      <c r="N160" s="82">
        <f t="shared" si="240"/>
        <v>0</v>
      </c>
      <c r="O160" s="82">
        <f t="shared" si="241"/>
        <v>0</v>
      </c>
      <c r="P160" s="262">
        <f t="shared" si="242"/>
        <v>0</v>
      </c>
      <c r="Q160" s="76">
        <f>VLOOKUP($D160,Engines_all!$A$3:'Engines_all'!$V$843,11,FALSE)</f>
        <v>31.529999999999998</v>
      </c>
      <c r="R160" s="78">
        <f>VLOOKUP($D160,Engines_all!$A$3:'Engines_all'!$V$843,12,FALSE)</f>
        <v>0.17838899999999999</v>
      </c>
      <c r="S160" s="78">
        <f>VLOOKUP($D160,Engines_all!$A$3:'Engines_all'!$V$843,13,FALSE)</f>
        <v>1.5419999999999998E-2</v>
      </c>
      <c r="T160" s="78">
        <f>VLOOKUP($D160,Engines_all!$A$3:'Engines_all'!$V$843,14,FALSE)</f>
        <v>0.103977</v>
      </c>
      <c r="U160" s="78">
        <f>VLOOKUP($D160,Engines_all!$A$3:'Engines_all'!$V$843,15,FALSE)</f>
        <v>1.2731677800000001E-2</v>
      </c>
      <c r="V160" s="222">
        <f>VLOOKUP($D160,Engines_all!$A$3:'Engines_all'!$V$843,16,FALSE)</f>
        <v>7.59222E+17</v>
      </c>
      <c r="W160" s="77">
        <f t="shared" si="243"/>
        <v>1.5764999999999998E-2</v>
      </c>
      <c r="X160" s="78">
        <f>IF(E160="K",Q160*'Rest Calc'!B$16,Q160*'Rest Calc'!B$17)</f>
        <v>99.634799999999998</v>
      </c>
      <c r="Y160" s="76">
        <f>VLOOKUP($D160,Engines_all!$A$3:'Engines_all'!$V$843,17,FALSE)</f>
        <v>1559.9999999999998</v>
      </c>
      <c r="Z160" s="76">
        <f>VLOOKUP($D160,Engines_all!$A$3:'Engines_all'!$V$843,18,FALSE)</f>
        <v>3.4319999999999999</v>
      </c>
      <c r="AA160" s="76">
        <f>VLOOKUP($D160,Engines_all!$A$3:'Engines_all'!$V$843,19,FALSE)</f>
        <v>1.5599999999999998</v>
      </c>
      <c r="AB160" s="76">
        <f>VLOOKUP($D160,Engines_all!$A$3:'Engines_all'!$V$843,20,FALSE)</f>
        <v>24.959999999999997</v>
      </c>
      <c r="AC160" s="76">
        <f>VLOOKUP($D160,Engines_all!$A$3:'Engines_all'!$V$843,21,FALSE)</f>
        <v>0.15854279999999998</v>
      </c>
      <c r="AD160" s="222">
        <f>VLOOKUP($D160,Engines_all!$A$3:'Engines_all'!$V$843,22,FALSE)</f>
        <v>3.2213999999999996E+16</v>
      </c>
      <c r="AE160" s="80">
        <f t="shared" si="244"/>
        <v>0.77999999999999992</v>
      </c>
      <c r="AF160" s="79">
        <f>IF(E160="K",Y160*'Rest Calc'!B$16,Y160*'Rest Calc'!B$17)</f>
        <v>4929.5999999999995</v>
      </c>
      <c r="AG160" s="79">
        <f>IF(ALECA_Input!D$121="Standard",VLOOKUP($B160,$A$211:$J$218,6,FALSE),VLOOKUP($B160,$A$211:$J$218,10,FALSE))</f>
        <v>5</v>
      </c>
      <c r="AH160" s="163">
        <f>G160/2+80</f>
        <v>80</v>
      </c>
      <c r="AI160" s="75">
        <v>8</v>
      </c>
      <c r="AJ160" s="74"/>
      <c r="AK160" s="74"/>
      <c r="AL160" s="74"/>
    </row>
    <row r="161" spans="1:38" x14ac:dyDescent="0.25">
      <c r="A161" s="74" t="s">
        <v>356</v>
      </c>
      <c r="B161" s="75" t="s">
        <v>386</v>
      </c>
      <c r="C161" s="74" t="s">
        <v>357</v>
      </c>
      <c r="D161" s="74" t="s">
        <v>2844</v>
      </c>
      <c r="E161" s="75" t="s">
        <v>2936</v>
      </c>
      <c r="F161" s="136">
        <v>2</v>
      </c>
      <c r="G161" s="243">
        <f>VLOOKUP(D161,Engines_all!$A$3:$AZ$843,52,FALSE)</f>
        <v>0</v>
      </c>
      <c r="H161" s="74">
        <f>ALECA_Input!K80</f>
        <v>0</v>
      </c>
      <c r="I161" s="82">
        <f t="shared" si="235"/>
        <v>0</v>
      </c>
      <c r="J161" s="82">
        <f t="shared" si="236"/>
        <v>0</v>
      </c>
      <c r="K161" s="82">
        <f t="shared" si="237"/>
        <v>0</v>
      </c>
      <c r="L161" s="82">
        <f t="shared" si="238"/>
        <v>0</v>
      </c>
      <c r="M161" s="161">
        <f t="shared" si="239"/>
        <v>0</v>
      </c>
      <c r="N161" s="82">
        <f t="shared" si="240"/>
        <v>0</v>
      </c>
      <c r="O161" s="82">
        <f t="shared" si="241"/>
        <v>0</v>
      </c>
      <c r="P161" s="262">
        <f t="shared" si="242"/>
        <v>0</v>
      </c>
      <c r="Q161" s="76">
        <f>VLOOKUP($D161,Engines_all!$A$3:'Engines_all'!$V$843,11,FALSE)</f>
        <v>23.700000000000003</v>
      </c>
      <c r="R161" s="78">
        <f>VLOOKUP($D161,Engines_all!$A$3:'Engines_all'!$V$843,12,FALSE)</f>
        <v>0.15306</v>
      </c>
      <c r="S161" s="78">
        <f>VLOOKUP($D161,Engines_all!$A$3:'Engines_all'!$V$843,13,FALSE)</f>
        <v>0</v>
      </c>
      <c r="T161" s="78">
        <f>VLOOKUP($D161,Engines_all!$A$3:'Engines_all'!$V$843,14,FALSE)</f>
        <v>8.2229999999999998E-2</v>
      </c>
      <c r="U161" s="78">
        <f>VLOOKUP($D161,Engines_all!$A$3:'Engines_all'!$V$843,15,FALSE)</f>
        <v>8.3165520000000014E-3</v>
      </c>
      <c r="V161" s="222">
        <f>VLOOKUP($D161,Engines_all!$A$3:'Engines_all'!$V$843,16,FALSE)</f>
        <v>1.894920664901265E+17</v>
      </c>
      <c r="W161" s="77">
        <f t="shared" si="243"/>
        <v>1.1850000000000001E-2</v>
      </c>
      <c r="X161" s="78">
        <f>IF(E161="K",Q161*'Rest Calc'!B$16,Q161*'Rest Calc'!B$17)</f>
        <v>74.89200000000001</v>
      </c>
      <c r="Y161" s="76">
        <f>VLOOKUP($D161,Engines_all!$A$3:'Engines_all'!$V$843,17,FALSE)</f>
        <v>824.86362509205003</v>
      </c>
      <c r="Z161" s="76">
        <f>VLOOKUP($D161,Engines_all!$A$3:'Engines_all'!$V$843,18,FALSE)</f>
        <v>1.8360000000000039</v>
      </c>
      <c r="AA161" s="76">
        <f>VLOOKUP($D161,Engines_all!$A$3:'Engines_all'!$V$843,19,FALSE)</f>
        <v>11.628520716616039</v>
      </c>
      <c r="AB161" s="76">
        <f>VLOOKUP($D161,Engines_all!$A$3:'Engines_all'!$V$843,20,FALSE)</f>
        <v>57.291494714218274</v>
      </c>
      <c r="AC161" s="76">
        <f>VLOOKUP($D161,Engines_all!$A$3:'Engines_all'!$V$843,21,FALSE)</f>
        <v>0.25937145298495873</v>
      </c>
      <c r="AD161" s="222">
        <f>VLOOKUP($D161,Engines_all!$A$3:'Engines_all'!$V$843,22,FALSE)</f>
        <v>8343900321733946</v>
      </c>
      <c r="AE161" s="80">
        <f t="shared" si="244"/>
        <v>0.41243181254602501</v>
      </c>
      <c r="AF161" s="79">
        <f>IF(E161="K",Y161*'Rest Calc'!B$16,Y161*'Rest Calc'!B$17)</f>
        <v>2606.5690552908782</v>
      </c>
      <c r="AG161" s="79">
        <f>IF(ALECA_Input!D$121="Standard",VLOOKUP($B161,$A$211:$J$218,6,FALSE),VLOOKUP($B161,$A$211:$J$218,10,FALSE))</f>
        <v>0</v>
      </c>
      <c r="AH161" s="163">
        <v>180</v>
      </c>
      <c r="AI161" s="75">
        <v>6</v>
      </c>
      <c r="AJ161" s="74"/>
      <c r="AK161" s="74"/>
      <c r="AL161" s="74"/>
    </row>
    <row r="162" spans="1:38" x14ac:dyDescent="0.25">
      <c r="A162" s="74" t="s">
        <v>358</v>
      </c>
      <c r="B162" s="75" t="s">
        <v>386</v>
      </c>
      <c r="C162" s="74" t="s">
        <v>359</v>
      </c>
      <c r="D162" s="74" t="s">
        <v>359</v>
      </c>
      <c r="E162" s="75" t="s">
        <v>2936</v>
      </c>
      <c r="F162" s="136">
        <v>2</v>
      </c>
      <c r="G162" s="243">
        <f>VLOOKUP(D162,Engines_all!$A$3:$AZ$843,52,FALSE)</f>
        <v>0</v>
      </c>
      <c r="H162" s="74">
        <f>ALECA_Input!K81</f>
        <v>0</v>
      </c>
      <c r="I162" s="82">
        <f t="shared" si="235"/>
        <v>0</v>
      </c>
      <c r="J162" s="82">
        <f t="shared" si="236"/>
        <v>0</v>
      </c>
      <c r="K162" s="82">
        <f t="shared" si="237"/>
        <v>0</v>
      </c>
      <c r="L162" s="82">
        <f t="shared" si="238"/>
        <v>0</v>
      </c>
      <c r="M162" s="161">
        <f t="shared" si="239"/>
        <v>0</v>
      </c>
      <c r="N162" s="82">
        <f t="shared" si="240"/>
        <v>0</v>
      </c>
      <c r="O162" s="82">
        <f t="shared" si="241"/>
        <v>0</v>
      </c>
      <c r="P162" s="262">
        <f t="shared" si="242"/>
        <v>0</v>
      </c>
      <c r="Q162" s="76">
        <f>VLOOKUP($D162,Engines_all!$A$3:'Engines_all'!$V$843,11,FALSE)</f>
        <v>28.17</v>
      </c>
      <c r="R162" s="78">
        <f>VLOOKUP($D162,Engines_all!$A$3:'Engines_all'!$V$843,12,FALSE)</f>
        <v>0.18127800000000002</v>
      </c>
      <c r="S162" s="78">
        <f>VLOOKUP($D162,Engines_all!$A$3:'Engines_all'!$V$843,13,FALSE)</f>
        <v>2.7918000000000002E-2</v>
      </c>
      <c r="T162" s="78">
        <f>VLOOKUP($D162,Engines_all!$A$3:'Engines_all'!$V$843,14,FALSE)</f>
        <v>0.25514999999999999</v>
      </c>
      <c r="U162" s="78">
        <f>VLOOKUP($D162,Engines_all!$A$3:'Engines_all'!$V$843,15,FALSE)</f>
        <v>1.24288587E-2</v>
      </c>
      <c r="V162" s="222">
        <f>VLOOKUP($D162,Engines_all!$A$3:'Engines_all'!$V$843,16,FALSE)</f>
        <v>2.4675852718814595E+17</v>
      </c>
      <c r="W162" s="77">
        <f t="shared" si="243"/>
        <v>1.4085E-2</v>
      </c>
      <c r="X162" s="78">
        <f>IF(E162="K",Q162*'Rest Calc'!B$16,Q162*'Rest Calc'!B$17)</f>
        <v>89.017200000000003</v>
      </c>
      <c r="Y162" s="76">
        <f>VLOOKUP($D162,Engines_all!$A$3:'Engines_all'!$V$843,17,FALSE)</f>
        <v>981.98050606197012</v>
      </c>
      <c r="Z162" s="76">
        <f>VLOOKUP($D162,Engines_all!$A$3:'Engines_all'!$V$843,18,FALSE)</f>
        <v>2.0571428571428694</v>
      </c>
      <c r="AA162" s="76">
        <f>VLOOKUP($D162,Engines_all!$A$3:'Engines_all'!$V$843,19,FALSE)</f>
        <v>42.616194036151413</v>
      </c>
      <c r="AB162" s="76">
        <f>VLOOKUP($D162,Engines_all!$A$3:'Engines_all'!$V$843,20,FALSE)</f>
        <v>140.19367321303031</v>
      </c>
      <c r="AC162" s="76">
        <f>VLOOKUP($D162,Engines_all!$A$3:'Engines_all'!$V$843,21,FALSE)</f>
        <v>0.4907221153891887</v>
      </c>
      <c r="AD162" s="222">
        <f>VLOOKUP($D162,Engines_all!$A$3:'Engines_all'!$V$843,22,FALSE)</f>
        <v>1.0183631845253576E+16</v>
      </c>
      <c r="AE162" s="80">
        <f t="shared" si="244"/>
        <v>0.49099025303098509</v>
      </c>
      <c r="AF162" s="79">
        <f>IF(E162="K",Y162*'Rest Calc'!B$16,Y162*'Rest Calc'!B$17)</f>
        <v>3103.0583991558256</v>
      </c>
      <c r="AG162" s="79">
        <f>IF(ALECA_Input!D$121="Standard",VLOOKUP($B162,$A$211:$J$218,6,FALSE),VLOOKUP($B162,$A$211:$J$218,10,FALSE))</f>
        <v>0</v>
      </c>
      <c r="AH162" s="163">
        <v>180</v>
      </c>
      <c r="AI162" s="75">
        <v>6</v>
      </c>
      <c r="AJ162" s="74"/>
      <c r="AK162" s="74"/>
      <c r="AL162" s="74"/>
    </row>
    <row r="163" spans="1:38" x14ac:dyDescent="0.25">
      <c r="A163" s="74" t="s">
        <v>360</v>
      </c>
      <c r="B163" s="75" t="s">
        <v>384</v>
      </c>
      <c r="C163" s="81" t="s">
        <v>361</v>
      </c>
      <c r="D163" s="74" t="s">
        <v>1001</v>
      </c>
      <c r="E163" s="75" t="s">
        <v>2936</v>
      </c>
      <c r="F163" s="136">
        <v>2</v>
      </c>
      <c r="G163" s="243">
        <f>VLOOKUP(D163,Engines_all!$A$3:$AZ$843,52,FALSE)</f>
        <v>0</v>
      </c>
      <c r="H163" s="74">
        <f>ALECA_Input!K82</f>
        <v>0</v>
      </c>
      <c r="I163" s="82">
        <f t="shared" si="235"/>
        <v>0</v>
      </c>
      <c r="J163" s="82">
        <f t="shared" si="236"/>
        <v>0</v>
      </c>
      <c r="K163" s="82">
        <f t="shared" si="237"/>
        <v>0</v>
      </c>
      <c r="L163" s="82">
        <f t="shared" si="238"/>
        <v>0</v>
      </c>
      <c r="M163" s="161">
        <f t="shared" si="239"/>
        <v>0</v>
      </c>
      <c r="N163" s="82">
        <f t="shared" si="240"/>
        <v>0</v>
      </c>
      <c r="O163" s="82">
        <f t="shared" si="241"/>
        <v>0</v>
      </c>
      <c r="P163" s="262">
        <f t="shared" si="242"/>
        <v>0</v>
      </c>
      <c r="Q163" s="76">
        <f>VLOOKUP($D163,Engines_all!$A$3:'Engines_all'!$V$843,11,FALSE)</f>
        <v>31.529999999999998</v>
      </c>
      <c r="R163" s="78">
        <f>VLOOKUP($D163,Engines_all!$A$3:'Engines_all'!$V$843,12,FALSE)</f>
        <v>0.17838899999999999</v>
      </c>
      <c r="S163" s="78">
        <f>VLOOKUP($D163,Engines_all!$A$3:'Engines_all'!$V$843,13,FALSE)</f>
        <v>1.5419999999999998E-2</v>
      </c>
      <c r="T163" s="78">
        <f>VLOOKUP($D163,Engines_all!$A$3:'Engines_all'!$V$843,14,FALSE)</f>
        <v>0.103977</v>
      </c>
      <c r="U163" s="78">
        <f>VLOOKUP($D163,Engines_all!$A$3:'Engines_all'!$V$843,15,FALSE)</f>
        <v>1.2731677800000001E-2</v>
      </c>
      <c r="V163" s="222">
        <f>VLOOKUP($D163,Engines_all!$A$3:'Engines_all'!$V$843,16,FALSE)</f>
        <v>7.59222E+17</v>
      </c>
      <c r="W163" s="77">
        <f t="shared" si="243"/>
        <v>1.5764999999999998E-2</v>
      </c>
      <c r="X163" s="78">
        <f>IF(E163="K",Q163*'Rest Calc'!B$16,Q163*'Rest Calc'!B$17)</f>
        <v>99.634799999999998</v>
      </c>
      <c r="Y163" s="76">
        <f>VLOOKUP($D163,Engines_all!$A$3:'Engines_all'!$V$843,17,FALSE)</f>
        <v>1559.9999999999998</v>
      </c>
      <c r="Z163" s="76">
        <f>VLOOKUP($D163,Engines_all!$A$3:'Engines_all'!$V$843,18,FALSE)</f>
        <v>3.4319999999999999</v>
      </c>
      <c r="AA163" s="76">
        <f>VLOOKUP($D163,Engines_all!$A$3:'Engines_all'!$V$843,19,FALSE)</f>
        <v>1.5599999999999998</v>
      </c>
      <c r="AB163" s="76">
        <f>VLOOKUP($D163,Engines_all!$A$3:'Engines_all'!$V$843,20,FALSE)</f>
        <v>24.959999999999997</v>
      </c>
      <c r="AC163" s="76">
        <f>VLOOKUP($D163,Engines_all!$A$3:'Engines_all'!$V$843,21,FALSE)</f>
        <v>0.15854279999999998</v>
      </c>
      <c r="AD163" s="222">
        <f>VLOOKUP($D163,Engines_all!$A$3:'Engines_all'!$V$843,22,FALSE)</f>
        <v>3.2213999999999996E+16</v>
      </c>
      <c r="AE163" s="80">
        <f t="shared" si="244"/>
        <v>0.77999999999999992</v>
      </c>
      <c r="AF163" s="79">
        <f>IF(E163="K",Y163*'Rest Calc'!B$16,Y163*'Rest Calc'!B$17)</f>
        <v>4929.5999999999995</v>
      </c>
      <c r="AG163" s="79">
        <f>IF(ALECA_Input!D$121="Standard",VLOOKUP($B163,$A$211:$J$218,6,FALSE),VLOOKUP($B163,$A$211:$J$218,10,FALSE))</f>
        <v>5</v>
      </c>
      <c r="AH163" s="163">
        <f>G163/2+80</f>
        <v>80</v>
      </c>
      <c r="AI163" s="75">
        <v>8</v>
      </c>
      <c r="AJ163" s="74"/>
      <c r="AK163" s="74"/>
      <c r="AL163" s="74"/>
    </row>
    <row r="164" spans="1:38" x14ac:dyDescent="0.25">
      <c r="A164" s="74" t="s">
        <v>489</v>
      </c>
      <c r="B164" s="75" t="s">
        <v>396</v>
      </c>
      <c r="C164" s="74" t="s">
        <v>362</v>
      </c>
      <c r="D164" s="74" t="s">
        <v>792</v>
      </c>
      <c r="E164" s="75" t="s">
        <v>2936</v>
      </c>
      <c r="F164" s="136">
        <v>2</v>
      </c>
      <c r="G164" s="243">
        <f>VLOOKUP(D164,Engines_all!$A$3:$AZ$843,52,FALSE)</f>
        <v>8.4499999999999993</v>
      </c>
      <c r="H164" s="74">
        <f>ALECA_Input!K83</f>
        <v>0</v>
      </c>
      <c r="I164" s="82">
        <f t="shared" si="235"/>
        <v>0</v>
      </c>
      <c r="J164" s="82">
        <f t="shared" si="236"/>
        <v>0</v>
      </c>
      <c r="K164" s="82">
        <f t="shared" si="237"/>
        <v>0</v>
      </c>
      <c r="L164" s="82">
        <f t="shared" si="238"/>
        <v>0</v>
      </c>
      <c r="M164" s="161">
        <f t="shared" si="239"/>
        <v>0</v>
      </c>
      <c r="N164" s="82">
        <f t="shared" si="240"/>
        <v>0</v>
      </c>
      <c r="O164" s="82">
        <f t="shared" si="241"/>
        <v>0</v>
      </c>
      <c r="P164" s="262">
        <f t="shared" si="242"/>
        <v>0</v>
      </c>
      <c r="Q164" s="76">
        <f>VLOOKUP($D164,Engines_all!$A$3:'Engines_all'!$V$843,11,FALSE)</f>
        <v>8.9160000000000004</v>
      </c>
      <c r="R164" s="78">
        <f>VLOOKUP($D164,Engines_all!$A$3:'Engines_all'!$V$843,12,FALSE)</f>
        <v>8.1625200000000009E-2</v>
      </c>
      <c r="S164" s="78">
        <f>VLOOKUP($D164,Engines_all!$A$3:'Engines_all'!$V$843,13,FALSE)</f>
        <v>1.9572E-4</v>
      </c>
      <c r="T164" s="78">
        <f>VLOOKUP($D164,Engines_all!$A$3:'Engines_all'!$V$843,14,FALSE)</f>
        <v>4.9104000000000002E-2</v>
      </c>
      <c r="U164" s="78">
        <f>VLOOKUP($D164,Engines_all!$A$3:'Engines_all'!$V$843,15,FALSE)</f>
        <v>9.8327935091156661E-4</v>
      </c>
      <c r="V164" s="222">
        <f>VLOOKUP($D164,Engines_all!$A$3:'Engines_all'!$V$843,16,FALSE)</f>
        <v>5031299976545594</v>
      </c>
      <c r="W164" s="77">
        <f t="shared" si="243"/>
        <v>4.4580000000000002E-3</v>
      </c>
      <c r="X164" s="78">
        <f>IF(E164="K",Q164*'Rest Calc'!B$16,Q164*'Rest Calc'!B$17)</f>
        <v>28.174560000000003</v>
      </c>
      <c r="Y164" s="76">
        <f>VLOOKUP($D164,Engines_all!$A$3:'Engines_all'!$V$843,17,FALSE)</f>
        <v>840</v>
      </c>
      <c r="Z164" s="76">
        <f>VLOOKUP($D164,Engines_all!$A$3:'Engines_all'!$V$843,18,FALSE)</f>
        <v>1.8480000000000001</v>
      </c>
      <c r="AA164" s="76">
        <f>VLOOKUP($D164,Engines_all!$A$3:'Engines_all'!$V$843,19,FALSE)</f>
        <v>1.302</v>
      </c>
      <c r="AB164" s="76">
        <f>VLOOKUP($D164,Engines_all!$A$3:'Engines_all'!$V$843,20,FALSE)</f>
        <v>38.22</v>
      </c>
      <c r="AC164" s="76">
        <f>VLOOKUP($D164,Engines_all!$A$3:'Engines_all'!$V$843,21,FALSE)</f>
        <v>5.4947679703764275E-2</v>
      </c>
      <c r="AD164" s="222">
        <f>VLOOKUP($D164,Engines_all!$A$3:'Engines_all'!$V$843,22,FALSE)</f>
        <v>327999160778181.56</v>
      </c>
      <c r="AE164" s="80">
        <f t="shared" si="244"/>
        <v>0.42</v>
      </c>
      <c r="AF164" s="79">
        <f>IF(E164="K",Y164*'Rest Calc'!B$16,Y164*'Rest Calc'!B$17)</f>
        <v>2654.4</v>
      </c>
      <c r="AG164" s="79">
        <f>IF(ALECA_Input!D$121="Standard",VLOOKUP($B164,$A$211:$J$218,6,FALSE),VLOOKUP($B164,$A$211:$J$218,10,FALSE))</f>
        <v>0</v>
      </c>
      <c r="AH164" s="163">
        <f>G164/2+80</f>
        <v>84.224999999999994</v>
      </c>
      <c r="AI164" s="75">
        <v>5</v>
      </c>
      <c r="AJ164" s="74"/>
      <c r="AK164" s="74"/>
      <c r="AL164" s="74"/>
    </row>
    <row r="165" spans="1:38" x14ac:dyDescent="0.25">
      <c r="A165" s="74" t="s">
        <v>363</v>
      </c>
      <c r="B165" s="75" t="s">
        <v>385</v>
      </c>
      <c r="C165" s="74" t="s">
        <v>364</v>
      </c>
      <c r="D165" s="74" t="s">
        <v>2654</v>
      </c>
      <c r="E165" s="75" t="s">
        <v>2937</v>
      </c>
      <c r="F165" s="136">
        <v>1</v>
      </c>
      <c r="G165" s="243">
        <f>VLOOKUP(D165,Engines_all!$A$3:$AZ$843,52,FALSE)</f>
        <v>0</v>
      </c>
      <c r="H165" s="74">
        <f>ALECA_Input!K84</f>
        <v>0</v>
      </c>
      <c r="I165" s="82">
        <f t="shared" si="235"/>
        <v>0</v>
      </c>
      <c r="J165" s="82">
        <f t="shared" si="236"/>
        <v>0</v>
      </c>
      <c r="K165" s="82">
        <f t="shared" si="237"/>
        <v>0</v>
      </c>
      <c r="L165" s="82">
        <f t="shared" si="238"/>
        <v>0</v>
      </c>
      <c r="M165" s="161">
        <f t="shared" si="239"/>
        <v>0</v>
      </c>
      <c r="N165" s="82">
        <f t="shared" si="240"/>
        <v>0</v>
      </c>
      <c r="O165" s="82">
        <f t="shared" si="241"/>
        <v>0</v>
      </c>
      <c r="P165" s="262">
        <f t="shared" si="242"/>
        <v>0</v>
      </c>
      <c r="Q165" s="76">
        <f>VLOOKUP($D165,Engines_all!$A$3:'Engines_all'!$V$843,11,FALSE)</f>
        <v>5.6567999999999996</v>
      </c>
      <c r="R165" s="78">
        <f>VLOOKUP($D165,Engines_all!$A$3:'Engines_all'!$V$843,12,FALSE)</f>
        <v>7.5333839999999997E-3</v>
      </c>
      <c r="S165" s="78">
        <f>VLOOKUP($D165,Engines_all!$A$3:'Engines_all'!$V$843,13,FALSE)</f>
        <v>0.10280956799999999</v>
      </c>
      <c r="T165" s="78">
        <f>VLOOKUP($D165,Engines_all!$A$3:'Engines_all'!$V$843,14,FALSE)</f>
        <v>7.5146849999999992</v>
      </c>
      <c r="U165" s="78">
        <f>VLOOKUP($D165,Engines_all!$A$3:'Engines_all'!$V$843,15,FALSE)</f>
        <v>9.6812001479999986E-3</v>
      </c>
      <c r="V165" s="222">
        <f>VLOOKUP($D165,Engines_all!$A$3:'Engines_all'!$V$843,16,FALSE)</f>
        <v>1994854749384580</v>
      </c>
      <c r="W165" s="77">
        <f t="shared" si="243"/>
        <v>2.8284E-3</v>
      </c>
      <c r="X165" s="78">
        <f>IF(E165="K",Q165*'Rest Calc'!B$16,Q165*'Rest Calc'!B$17)</f>
        <v>17.253239999999998</v>
      </c>
      <c r="Y165" s="76">
        <f>VLOOKUP($D165,Engines_all!$A$3:'Engines_all'!$V$843,17,FALSE)</f>
        <v>84</v>
      </c>
      <c r="Z165" s="76">
        <f>VLOOKUP($D165,Engines_all!$A$3:'Engines_all'!$V$843,18,FALSE)</f>
        <v>0.18396000000000001</v>
      </c>
      <c r="AA165" s="76">
        <f>VLOOKUP($D165,Engines_all!$A$3:'Engines_all'!$V$843,19,FALSE)</f>
        <v>4.0580400000000001</v>
      </c>
      <c r="AB165" s="76">
        <f>VLOOKUP($D165,Engines_all!$A$3:'Engines_all'!$V$843,20,FALSE)</f>
        <v>91.959000000000003</v>
      </c>
      <c r="AC165" s="76">
        <f>VLOOKUP($D165,Engines_all!$A$3:'Engines_all'!$V$843,21,FALSE)</f>
        <v>4.1750746800000002E-2</v>
      </c>
      <c r="AD165" s="222">
        <f>VLOOKUP($D165,Engines_all!$A$3:'Engines_all'!$V$843,22,FALSE)</f>
        <v>48553554187641.43</v>
      </c>
      <c r="AE165" s="80">
        <f t="shared" si="244"/>
        <v>4.2000000000000003E-2</v>
      </c>
      <c r="AF165" s="79">
        <f>IF(E165="K",Y165*'Rest Calc'!B$16,Y165*'Rest Calc'!B$17)</f>
        <v>256.2</v>
      </c>
      <c r="AG165" s="79">
        <f>IF(ALECA_Input!D$121="Standard",VLOOKUP($B165,$A$211:$J$218,6,FALSE),VLOOKUP($B165,$A$211:$J$218,10,FALSE))</f>
        <v>0</v>
      </c>
      <c r="AH165" s="163">
        <f>G165/2+80</f>
        <v>80</v>
      </c>
      <c r="AI165" s="75">
        <v>7</v>
      </c>
      <c r="AJ165" s="74"/>
      <c r="AK165" s="74"/>
      <c r="AL165" s="74"/>
    </row>
    <row r="166" spans="1:38" x14ac:dyDescent="0.25">
      <c r="A166" s="74" t="s">
        <v>365</v>
      </c>
      <c r="B166" s="75" t="s">
        <v>385</v>
      </c>
      <c r="C166" s="74" t="s">
        <v>366</v>
      </c>
      <c r="D166" s="74" t="s">
        <v>2667</v>
      </c>
      <c r="E166" s="75" t="s">
        <v>2937</v>
      </c>
      <c r="F166" s="136">
        <v>1</v>
      </c>
      <c r="G166" s="243">
        <f>VLOOKUP(D166,Engines_all!$A$3:$AZ$843,52,FALSE)</f>
        <v>0</v>
      </c>
      <c r="H166" s="74">
        <f>ALECA_Input!K85</f>
        <v>0</v>
      </c>
      <c r="I166" s="82">
        <f t="shared" si="235"/>
        <v>0</v>
      </c>
      <c r="J166" s="82">
        <f t="shared" si="236"/>
        <v>0</v>
      </c>
      <c r="K166" s="82">
        <f t="shared" si="237"/>
        <v>0</v>
      </c>
      <c r="L166" s="82">
        <f t="shared" si="238"/>
        <v>0</v>
      </c>
      <c r="M166" s="161">
        <f t="shared" si="239"/>
        <v>0</v>
      </c>
      <c r="N166" s="82">
        <f t="shared" si="240"/>
        <v>0</v>
      </c>
      <c r="O166" s="82">
        <f t="shared" si="241"/>
        <v>0</v>
      </c>
      <c r="P166" s="262">
        <f t="shared" si="242"/>
        <v>0</v>
      </c>
      <c r="Q166" s="76">
        <f>VLOOKUP($D166,Engines_all!$A$3:'Engines_all'!$V$843,11,FALSE)</f>
        <v>4.3079999999999998</v>
      </c>
      <c r="R166" s="78">
        <f>VLOOKUP($D166,Engines_all!$A$3:'Engines_all'!$V$843,12,FALSE)</f>
        <v>5.1402719999999999E-2</v>
      </c>
      <c r="S166" s="78">
        <f>VLOOKUP($D166,Engines_all!$A$3:'Engines_all'!$V$843,13,FALSE)</f>
        <v>6.2070119999999986E-2</v>
      </c>
      <c r="T166" s="78">
        <f>VLOOKUP($D166,Engines_all!$A$3:'Engines_all'!$V$843,14,FALSE)</f>
        <v>3.3566267999999999</v>
      </c>
      <c r="U166" s="78">
        <f>VLOOKUP($D166,Engines_all!$A$3:'Engines_all'!$V$843,15,FALSE)</f>
        <v>4.8677266800000009E-3</v>
      </c>
      <c r="V166" s="222">
        <f>VLOOKUP($D166,Engines_all!$A$3:'Engines_all'!$V$843,16,FALSE)</f>
        <v>436241658842417.69</v>
      </c>
      <c r="W166" s="77">
        <f t="shared" si="243"/>
        <v>2.1540000000000001E-3</v>
      </c>
      <c r="X166" s="78">
        <f>IF(E166="K",Q166*'Rest Calc'!B$16,Q166*'Rest Calc'!B$17)</f>
        <v>13.139399999999998</v>
      </c>
      <c r="Y166" s="76">
        <f>VLOOKUP($D166,Engines_all!$A$3:'Engines_all'!$V$843,17,FALSE)</f>
        <v>78</v>
      </c>
      <c r="Z166" s="76">
        <f>VLOOKUP($D166,Engines_all!$A$3:'Engines_all'!$V$843,18,FALSE)</f>
        <v>0.12792000000000001</v>
      </c>
      <c r="AA166" s="76">
        <f>VLOOKUP($D166,Engines_all!$A$3:'Engines_all'!$V$843,19,FALSE)</f>
        <v>1.2441</v>
      </c>
      <c r="AB166" s="76">
        <f>VLOOKUP($D166,Engines_all!$A$3:'Engines_all'!$V$843,20,FALSE)</f>
        <v>53.788800000000002</v>
      </c>
      <c r="AC166" s="76">
        <f>VLOOKUP($D166,Engines_all!$A$3:'Engines_all'!$V$843,21,FALSE)</f>
        <v>1.7344977000000001E-2</v>
      </c>
      <c r="AD166" s="222">
        <f>VLOOKUP($D166,Engines_all!$A$3:'Engines_all'!$V$843,22,FALSE)</f>
        <v>22542721587119.234</v>
      </c>
      <c r="AE166" s="80">
        <f t="shared" si="244"/>
        <v>3.9E-2</v>
      </c>
      <c r="AF166" s="79">
        <f>IF(E166="K",Y166*'Rest Calc'!B$16,Y166*'Rest Calc'!B$17)</f>
        <v>237.89999999999998</v>
      </c>
      <c r="AG166" s="79">
        <f>IF(ALECA_Input!D$121="Standard",VLOOKUP($B166,$A$211:$J$218,6,FALSE),VLOOKUP($B166,$A$211:$J$218,10,FALSE))</f>
        <v>0</v>
      </c>
      <c r="AH166" s="163">
        <f>G166/2+80</f>
        <v>80</v>
      </c>
      <c r="AI166" s="75">
        <v>7</v>
      </c>
      <c r="AJ166" s="74"/>
      <c r="AK166" s="74"/>
      <c r="AL166" s="74"/>
    </row>
    <row r="167" spans="1:38" x14ac:dyDescent="0.25">
      <c r="A167" s="74" t="s">
        <v>367</v>
      </c>
      <c r="B167" s="75" t="s">
        <v>386</v>
      </c>
      <c r="C167" s="74" t="s">
        <v>368</v>
      </c>
      <c r="D167" s="74" t="s">
        <v>368</v>
      </c>
      <c r="E167" s="75" t="s">
        <v>2936</v>
      </c>
      <c r="F167" s="136">
        <v>1</v>
      </c>
      <c r="G167" s="243">
        <f>VLOOKUP(D167,Engines_all!$A$3:$AZ$843,52,FALSE)</f>
        <v>0</v>
      </c>
      <c r="H167" s="74">
        <f>ALECA_Input!K86</f>
        <v>0</v>
      </c>
      <c r="I167" s="82">
        <f t="shared" si="235"/>
        <v>0</v>
      </c>
      <c r="J167" s="82">
        <f t="shared" si="236"/>
        <v>0</v>
      </c>
      <c r="K167" s="82">
        <f t="shared" si="237"/>
        <v>0</v>
      </c>
      <c r="L167" s="82">
        <f t="shared" si="238"/>
        <v>0</v>
      </c>
      <c r="M167" s="161">
        <f t="shared" si="239"/>
        <v>0</v>
      </c>
      <c r="N167" s="82">
        <f t="shared" si="240"/>
        <v>0</v>
      </c>
      <c r="O167" s="82">
        <f t="shared" si="241"/>
        <v>0</v>
      </c>
      <c r="P167" s="262">
        <f t="shared" si="242"/>
        <v>0</v>
      </c>
      <c r="Q167" s="76">
        <f>VLOOKUP($D167,Engines_all!$A$3:'Engines_all'!$V$843,11,FALSE)</f>
        <v>20.22</v>
      </c>
      <c r="R167" s="78">
        <f>VLOOKUP($D167,Engines_all!$A$3:'Engines_all'!$V$843,12,FALSE)</f>
        <v>9.5721000000000001E-2</v>
      </c>
      <c r="S167" s="78">
        <f>VLOOKUP($D167,Engines_all!$A$3:'Engines_all'!$V$843,13,FALSE)</f>
        <v>8.0063999999999996E-2</v>
      </c>
      <c r="T167" s="78">
        <f>VLOOKUP($D167,Engines_all!$A$3:'Engines_all'!$V$843,14,FALSE)</f>
        <v>0.4359090000000001</v>
      </c>
      <c r="U167" s="78">
        <f>VLOOKUP($D167,Engines_all!$A$3:'Engines_all'!$V$843,15,FALSE)</f>
        <v>1.0744743450000002E-2</v>
      </c>
      <c r="V167" s="222">
        <f>VLOOKUP($D167,Engines_all!$A$3:'Engines_all'!$V$843,16,FALSE)</f>
        <v>1.382481552471025E+17</v>
      </c>
      <c r="W167" s="77">
        <f t="shared" si="243"/>
        <v>1.0109999999999999E-2</v>
      </c>
      <c r="X167" s="78">
        <f>IF(E167="K",Q167*'Rest Calc'!B$16,Q167*'Rest Calc'!B$17)</f>
        <v>63.895200000000003</v>
      </c>
      <c r="Y167" s="76">
        <f>VLOOKUP($D167,Engines_all!$A$3:'Engines_all'!$V$843,17,FALSE)</f>
        <v>864.14284533452997</v>
      </c>
      <c r="Z167" s="76">
        <f>VLOOKUP($D167,Engines_all!$A$3:'Engines_all'!$V$843,18,FALSE)</f>
        <v>1.4142857142857206</v>
      </c>
      <c r="AA167" s="76">
        <f>VLOOKUP($D167,Engines_all!$A$3:'Engines_all'!$V$843,19,FALSE)</f>
        <v>83.306531093360675</v>
      </c>
      <c r="AB167" s="76">
        <f>VLOOKUP($D167,Engines_all!$A$3:'Engines_all'!$V$843,20,FALSE)</f>
        <v>204.75434563110346</v>
      </c>
      <c r="AC167" s="76">
        <f>VLOOKUP($D167,Engines_all!$A$3:'Engines_all'!$V$843,21,FALSE)</f>
        <v>0.704078157105819</v>
      </c>
      <c r="AD167" s="222">
        <f>VLOOKUP($D167,Engines_all!$A$3:'Engines_all'!$V$843,22,FALSE)</f>
        <v>8373950382916676</v>
      </c>
      <c r="AE167" s="80">
        <f t="shared" si="244"/>
        <v>0.432071422667265</v>
      </c>
      <c r="AF167" s="79">
        <f>IF(E167="K",Y167*'Rest Calc'!B$16,Y167*'Rest Calc'!B$17)</f>
        <v>2730.6913912571149</v>
      </c>
      <c r="AG167" s="79">
        <f>IF(ALECA_Input!D$121="Standard",VLOOKUP($B167,$A$211:$J$218,6,FALSE),VLOOKUP($B167,$A$211:$J$218,10,FALSE))</f>
        <v>0</v>
      </c>
      <c r="AH167" s="163">
        <v>180</v>
      </c>
      <c r="AI167" s="75">
        <v>6</v>
      </c>
      <c r="AJ167" s="74"/>
      <c r="AK167" s="74"/>
      <c r="AL167" s="74"/>
    </row>
    <row r="168" spans="1:38" x14ac:dyDescent="0.25">
      <c r="A168" s="74" t="s">
        <v>490</v>
      </c>
      <c r="B168" s="75" t="s">
        <v>393</v>
      </c>
      <c r="C168" s="74" t="s">
        <v>369</v>
      </c>
      <c r="D168" s="74" t="s">
        <v>691</v>
      </c>
      <c r="E168" s="75" t="s">
        <v>2936</v>
      </c>
      <c r="F168" s="136">
        <v>2</v>
      </c>
      <c r="G168" s="243">
        <f>VLOOKUP(D168,Engines_all!$A$3:$AZ$843,52,FALSE)</f>
        <v>178.4</v>
      </c>
      <c r="H168" s="74">
        <f>ALECA_Input!C40</f>
        <v>0</v>
      </c>
      <c r="I168" s="82">
        <f t="shared" si="235"/>
        <v>0</v>
      </c>
      <c r="J168" s="82">
        <f t="shared" si="236"/>
        <v>0</v>
      </c>
      <c r="K168" s="82">
        <f t="shared" si="237"/>
        <v>0</v>
      </c>
      <c r="L168" s="82">
        <f t="shared" si="238"/>
        <v>0</v>
      </c>
      <c r="M168" s="161">
        <f t="shared" si="239"/>
        <v>0</v>
      </c>
      <c r="N168" s="82">
        <f t="shared" si="240"/>
        <v>0</v>
      </c>
      <c r="O168" s="82">
        <f t="shared" si="241"/>
        <v>0</v>
      </c>
      <c r="P168" s="262">
        <f t="shared" si="242"/>
        <v>0</v>
      </c>
      <c r="Q168" s="76">
        <f>VLOOKUP($D168,Engines_all!$A$3:'Engines_all'!$V$843,11,FALSE)</f>
        <v>402.24000000000007</v>
      </c>
      <c r="R168" s="78">
        <f>VLOOKUP($D168,Engines_all!$A$3:'Engines_all'!$V$843,12,FALSE)</f>
        <v>10.742368800000001</v>
      </c>
      <c r="S168" s="78">
        <f>VLOOKUP($D168,Engines_all!$A$3:'Engines_all'!$V$843,13,FALSE)</f>
        <v>6.9852000000000004E-3</v>
      </c>
      <c r="T168" s="78">
        <f>VLOOKUP($D168,Engines_all!$A$3:'Engines_all'!$V$843,14,FALSE)</f>
        <v>0.30208440000000009</v>
      </c>
      <c r="U168" s="78">
        <f>VLOOKUP($D168,Engines_all!$A$3:'Engines_all'!$V$843,15,FALSE)</f>
        <v>3.3128767630646982E-2</v>
      </c>
      <c r="V168" s="222">
        <f>VLOOKUP($D168,Engines_all!$A$3:'Engines_all'!$V$843,16,FALSE)</f>
        <v>2.0306084889321718E+17</v>
      </c>
      <c r="W168" s="77">
        <f t="shared" si="243"/>
        <v>0.20112000000000005</v>
      </c>
      <c r="X168" s="78">
        <f>IF(E168="K",Q168*'Rest Calc'!B$16,Q168*'Rest Calc'!B$17)</f>
        <v>1271.0784000000003</v>
      </c>
      <c r="Y168" s="76">
        <f>VLOOKUP($D168,Engines_all!$A$3:'Engines_all'!$V$843,17,FALSE)</f>
        <v>10799.999999999998</v>
      </c>
      <c r="Z168" s="76">
        <f>VLOOKUP($D168,Engines_all!$A$3:'Engines_all'!$V$843,18,FALSE)</f>
        <v>37.367999999999995</v>
      </c>
      <c r="AA168" s="76">
        <f>VLOOKUP($D168,Engines_all!$A$3:'Engines_all'!$V$843,19,FALSE)</f>
        <v>3.9959999999999996</v>
      </c>
      <c r="AB168" s="76">
        <f>VLOOKUP($D168,Engines_all!$A$3:'Engines_all'!$V$843,20,FALSE)</f>
        <v>143.74799999999999</v>
      </c>
      <c r="AC168" s="76">
        <f>VLOOKUP($D168,Engines_all!$A$3:'Engines_all'!$V$843,21,FALSE)</f>
        <v>0.85628709572817685</v>
      </c>
      <c r="AD168" s="222">
        <f>VLOOKUP($D168,Engines_all!$A$3:'Engines_all'!$V$843,22,FALSE)</f>
        <v>1.5281745500237052E+16</v>
      </c>
      <c r="AE168" s="80">
        <f t="shared" si="244"/>
        <v>5.3999999999999995</v>
      </c>
      <c r="AF168" s="79">
        <f>IF(E168="K",Y168*'Rest Calc'!B$16,Y168*'Rest Calc'!B$17)</f>
        <v>34127.999999999993</v>
      </c>
      <c r="AG168" s="79">
        <f>IF(ALECA_Input!D$121="Standard",VLOOKUP($B168,$A$211:$J$218,6,FALSE),VLOOKUP($B168,$A$211:$J$218,10,FALSE))</f>
        <v>0</v>
      </c>
      <c r="AH168" s="163">
        <f>G168/2+80</f>
        <v>169.2</v>
      </c>
      <c r="AI168" s="75">
        <v>2</v>
      </c>
      <c r="AJ168" s="74"/>
      <c r="AK168" s="74"/>
      <c r="AL168" s="74"/>
    </row>
    <row r="169" spans="1:38" x14ac:dyDescent="0.25">
      <c r="A169" s="74" t="s">
        <v>491</v>
      </c>
      <c r="B169" s="75" t="s">
        <v>395</v>
      </c>
      <c r="C169" s="74" t="s">
        <v>215</v>
      </c>
      <c r="D169" s="74" t="s">
        <v>659</v>
      </c>
      <c r="E169" s="75" t="s">
        <v>2936</v>
      </c>
      <c r="F169" s="136">
        <v>2</v>
      </c>
      <c r="G169" s="243">
        <f>VLOOKUP(D169,Engines_all!$A$3:$AZ$843,52,FALSE)</f>
        <v>63.765000000000001</v>
      </c>
      <c r="H169" s="74">
        <f>ALECA_Input!K87</f>
        <v>0</v>
      </c>
      <c r="I169" s="82">
        <f t="shared" si="235"/>
        <v>0</v>
      </c>
      <c r="J169" s="82">
        <f t="shared" si="236"/>
        <v>0</v>
      </c>
      <c r="K169" s="82">
        <f t="shared" si="237"/>
        <v>0</v>
      </c>
      <c r="L169" s="82">
        <f t="shared" si="238"/>
        <v>0</v>
      </c>
      <c r="M169" s="161">
        <f t="shared" si="239"/>
        <v>0</v>
      </c>
      <c r="N169" s="82">
        <f t="shared" si="240"/>
        <v>0</v>
      </c>
      <c r="O169" s="82">
        <f t="shared" si="241"/>
        <v>0</v>
      </c>
      <c r="P169" s="262">
        <f t="shared" si="242"/>
        <v>0</v>
      </c>
      <c r="Q169" s="76">
        <f>VLOOKUP($D169,Engines_all!$A$3:'Engines_all'!$V$843,11,FALSE)</f>
        <v>147.62400000000002</v>
      </c>
      <c r="R169" s="78">
        <f>VLOOKUP($D169,Engines_all!$A$3:'Engines_all'!$V$843,12,FALSE)</f>
        <v>2.6959200000000001</v>
      </c>
      <c r="S169" s="78">
        <f>VLOOKUP($D169,Engines_all!$A$3:'Engines_all'!$V$843,13,FALSE)</f>
        <v>0</v>
      </c>
      <c r="T169" s="78">
        <f>VLOOKUP($D169,Engines_all!$A$3:'Engines_all'!$V$843,14,FALSE)</f>
        <v>0.17818440000000002</v>
      </c>
      <c r="U169" s="78">
        <f>VLOOKUP($D169,Engines_all!$A$3:'Engines_all'!$V$843,15,FALSE)</f>
        <v>1.8677345161890797E-2</v>
      </c>
      <c r="V169" s="222">
        <f>VLOOKUP($D169,Engines_all!$A$3:'Engines_all'!$V$843,16,FALSE)</f>
        <v>2.0661671474572278E+17</v>
      </c>
      <c r="W169" s="77">
        <f t="shared" si="243"/>
        <v>7.3812000000000016E-2</v>
      </c>
      <c r="X169" s="78">
        <f>IF(E169="K",Q169*'Rest Calc'!B$16,Q169*'Rest Calc'!B$17)</f>
        <v>466.49184000000008</v>
      </c>
      <c r="Y169" s="76">
        <f>VLOOKUP($D169,Engines_all!$A$3:'Engines_all'!$V$843,17,FALSE)</f>
        <v>6000</v>
      </c>
      <c r="Z169" s="76">
        <f>VLOOKUP($D169,Engines_all!$A$3:'Engines_all'!$V$843,18,FALSE)</f>
        <v>33</v>
      </c>
      <c r="AA169" s="76">
        <f>VLOOKUP($D169,Engines_all!$A$3:'Engines_all'!$V$843,19,FALSE)</f>
        <v>32.400000000000006</v>
      </c>
      <c r="AB169" s="76">
        <f>VLOOKUP($D169,Engines_all!$A$3:'Engines_all'!$V$843,20,FALSE)</f>
        <v>124.19999999999999</v>
      </c>
      <c r="AC169" s="76">
        <f>VLOOKUP($D169,Engines_all!$A$3:'Engines_all'!$V$843,21,FALSE)</f>
        <v>0.9531254888130215</v>
      </c>
      <c r="AD169" s="222">
        <f>VLOOKUP($D169,Engines_all!$A$3:'Engines_all'!$V$843,22,FALSE)</f>
        <v>2.3183070987400952E+16</v>
      </c>
      <c r="AE169" s="80">
        <f t="shared" si="244"/>
        <v>3</v>
      </c>
      <c r="AF169" s="79">
        <f>IF(E169="K",Y169*'Rest Calc'!B$16,Y169*'Rest Calc'!B$17)</f>
        <v>18960</v>
      </c>
      <c r="AG169" s="79">
        <f>IF(ALECA_Input!D$121="Standard",VLOOKUP($B169,$A$211:$J$218,6,FALSE),VLOOKUP($B169,$A$211:$J$218,10,FALSE))</f>
        <v>0</v>
      </c>
      <c r="AH169" s="163">
        <f>G169/2+80</f>
        <v>111.88249999999999</v>
      </c>
      <c r="AI169" s="75">
        <v>4</v>
      </c>
      <c r="AJ169" s="74"/>
      <c r="AK169" s="74"/>
      <c r="AL169" s="74"/>
    </row>
    <row r="170" spans="1:38" ht="7.2" customHeight="1" x14ac:dyDescent="0.25">
      <c r="B170" s="75"/>
      <c r="C170" s="74"/>
      <c r="D170" s="74"/>
      <c r="E170" s="75"/>
      <c r="F170" s="136"/>
      <c r="G170" s="243"/>
      <c r="H170" s="74"/>
      <c r="I170" s="82"/>
      <c r="J170" s="82"/>
      <c r="K170" s="82"/>
      <c r="L170" s="82"/>
      <c r="M170" s="161"/>
      <c r="N170" s="82"/>
      <c r="O170" s="82"/>
      <c r="P170" s="262"/>
      <c r="Q170" s="76"/>
      <c r="R170" s="78"/>
      <c r="S170" s="78"/>
      <c r="T170" s="78"/>
      <c r="U170" s="78"/>
      <c r="V170" s="222"/>
      <c r="W170" s="77"/>
      <c r="X170" s="78"/>
      <c r="Y170" s="76"/>
      <c r="Z170" s="76"/>
      <c r="AA170" s="76"/>
      <c r="AB170" s="76"/>
      <c r="AC170" s="76"/>
      <c r="AD170" s="222"/>
      <c r="AE170" s="80"/>
      <c r="AF170" s="79"/>
      <c r="AG170" s="79"/>
      <c r="AH170" s="163"/>
      <c r="AJ170" s="74"/>
      <c r="AK170" s="74"/>
      <c r="AL170" s="74"/>
    </row>
    <row r="171" spans="1:38" x14ac:dyDescent="0.25">
      <c r="A171" s="74" t="s">
        <v>370</v>
      </c>
      <c r="B171" s="75" t="s">
        <v>384</v>
      </c>
      <c r="C171" s="74"/>
      <c r="D171" s="74" t="s">
        <v>1019</v>
      </c>
      <c r="E171" s="75" t="s">
        <v>2936</v>
      </c>
      <c r="F171" s="136">
        <v>1</v>
      </c>
      <c r="G171" s="243">
        <f>VLOOKUP(D171,Engines_all!$A$3:$AZ$843,52,FALSE)</f>
        <v>0</v>
      </c>
      <c r="H171" s="74">
        <f>ALECA_Input!K89</f>
        <v>0</v>
      </c>
      <c r="I171" s="82">
        <f t="shared" ref="I171:I179" si="245">$H171/2*$F171*(R171+(Z171*$AG171/1000))</f>
        <v>0</v>
      </c>
      <c r="J171" s="82">
        <f t="shared" ref="J171:J179" si="246">$H171/2*$F171*(S171+(AA171*$AG171/1000))</f>
        <v>0</v>
      </c>
      <c r="K171" s="82">
        <f t="shared" ref="K171:K179" si="247">$H171/2*$F171*(T171+(AB171*$AG171/1000))</f>
        <v>0</v>
      </c>
      <c r="L171" s="82">
        <f t="shared" ref="L171:L179" si="248">$H171/2*$F171*(U171+(AC171*$AG171/1000))</f>
        <v>0</v>
      </c>
      <c r="M171" s="161">
        <f t="shared" ref="M171:M179" si="249">H171/2*$F171*(V171+AD171*AG171)</f>
        <v>0</v>
      </c>
      <c r="N171" s="82">
        <f t="shared" ref="N171:N179" si="250">$H171/2*$F171*(W171+(AE171*$AG171/1000))</f>
        <v>0</v>
      </c>
      <c r="O171" s="82">
        <f t="shared" ref="O171:O179" si="251">$H171/2*$F171*(X171+(AF171*$AG171/1000))</f>
        <v>0</v>
      </c>
      <c r="P171" s="262">
        <f t="shared" ref="P171:P179" si="252">F171*H171/2*AH171/1000</f>
        <v>0</v>
      </c>
      <c r="Q171" s="76">
        <f>VLOOKUP($D171,Engines_all!$A$3:'Engines_all'!$V$843,11,FALSE)</f>
        <v>6.2940000000000005</v>
      </c>
      <c r="R171" s="78">
        <f>VLOOKUP($D171,Engines_all!$A$3:'Engines_all'!$V$843,12,FALSE)</f>
        <v>1.5996E-2</v>
      </c>
      <c r="S171" s="78">
        <f>VLOOKUP($D171,Engines_all!$A$3:'Engines_all'!$V$843,13,FALSE)</f>
        <v>8.1366600000000011E-2</v>
      </c>
      <c r="T171" s="78">
        <f>VLOOKUP($D171,Engines_all!$A$3:'Engines_all'!$V$843,14,FALSE)</f>
        <v>6.2939999999999996</v>
      </c>
      <c r="U171" s="78">
        <f>VLOOKUP($D171,Engines_all!$A$3:'Engines_all'!$V$843,15,FALSE)</f>
        <v>8.6024019900000012E-3</v>
      </c>
      <c r="V171" s="222">
        <f>VLOOKUP($D171,Engines_all!$A$3:'Engines_all'!$V$843,16,FALSE)</f>
        <v>2146240897457658</v>
      </c>
      <c r="W171" s="77">
        <f t="shared" ref="W171:W179" si="253">Q171*0.0005</f>
        <v>3.1470000000000005E-3</v>
      </c>
      <c r="X171" s="78">
        <f>IF(E171="K",Q171*'Rest Calc'!B$16,Q171*'Rest Calc'!B$17)</f>
        <v>19.889040000000001</v>
      </c>
      <c r="Y171" s="76">
        <f>VLOOKUP($D171,Engines_all!$A$3:'Engines_all'!$V$843,17,FALSE)</f>
        <v>186</v>
      </c>
      <c r="Z171" s="76">
        <f>VLOOKUP($D171,Engines_all!$A$3:'Engines_all'!$V$843,18,FALSE)</f>
        <v>0.186</v>
      </c>
      <c r="AA171" s="76">
        <f>VLOOKUP($D171,Engines_all!$A$3:'Engines_all'!$V$843,19,FALSE)</f>
        <v>3.8130000000000002</v>
      </c>
      <c r="AB171" s="76">
        <f>VLOOKUP($D171,Engines_all!$A$3:'Engines_all'!$V$843,20,FALSE)</f>
        <v>186</v>
      </c>
      <c r="AC171" s="76">
        <f>VLOOKUP($D171,Engines_all!$A$3:'Engines_all'!$V$843,21,FALSE)</f>
        <v>6.053277E-2</v>
      </c>
      <c r="AD171" s="222">
        <f>VLOOKUP($D171,Engines_all!$A$3:'Engines_all'!$V$843,22,FALSE)</f>
        <v>107511441415491.73</v>
      </c>
      <c r="AE171" s="80">
        <f t="shared" ref="AE171:AE179" si="254">Y171*0.0005</f>
        <v>9.2999999999999999E-2</v>
      </c>
      <c r="AF171" s="79">
        <f>IF(E171="K",Y171*'Rest Calc'!B$16,Y171*'Rest Calc'!B$17)</f>
        <v>587.76</v>
      </c>
      <c r="AG171" s="79">
        <f>IF(ALECA_Input!D$121="Standard",VLOOKUP($B171,$A$211:$J$218,6,FALSE),VLOOKUP($B171,$A$211:$J$218,10,FALSE))</f>
        <v>5</v>
      </c>
      <c r="AH171" s="163">
        <v>90</v>
      </c>
      <c r="AI171" s="75">
        <v>8</v>
      </c>
      <c r="AJ171" s="74"/>
      <c r="AK171" s="74"/>
      <c r="AL171" s="74"/>
    </row>
    <row r="172" spans="1:38" x14ac:dyDescent="0.25">
      <c r="A172" s="74" t="s">
        <v>371</v>
      </c>
      <c r="B172" s="75" t="s">
        <v>385</v>
      </c>
      <c r="C172" s="74"/>
      <c r="D172" s="74" t="s">
        <v>2681</v>
      </c>
      <c r="E172" s="75" t="s">
        <v>2937</v>
      </c>
      <c r="F172" s="136">
        <v>1</v>
      </c>
      <c r="G172" s="243">
        <f>VLOOKUP(D172,Engines_all!$A$3:$AZ$843,52,FALSE)</f>
        <v>0</v>
      </c>
      <c r="H172" s="74">
        <f>ALECA_Input!K90</f>
        <v>0</v>
      </c>
      <c r="I172" s="82">
        <f t="shared" si="245"/>
        <v>0</v>
      </c>
      <c r="J172" s="82">
        <f t="shared" si="246"/>
        <v>0</v>
      </c>
      <c r="K172" s="82">
        <f t="shared" si="247"/>
        <v>0</v>
      </c>
      <c r="L172" s="82">
        <f t="shared" si="248"/>
        <v>0</v>
      </c>
      <c r="M172" s="161">
        <f t="shared" si="249"/>
        <v>0</v>
      </c>
      <c r="N172" s="82">
        <f t="shared" si="250"/>
        <v>0</v>
      </c>
      <c r="O172" s="82">
        <f t="shared" si="251"/>
        <v>0</v>
      </c>
      <c r="P172" s="262">
        <f t="shared" si="252"/>
        <v>0</v>
      </c>
      <c r="Q172" s="76">
        <f>VLOOKUP($D172,Engines_all!$A$3:'Engines_all'!$V$843,11,FALSE)</f>
        <v>7.4046000000000003</v>
      </c>
      <c r="R172" s="78">
        <f>VLOOKUP($D172,Engines_all!$A$3:'Engines_all'!$V$843,12,FALSE)</f>
        <v>3.0205800000000005E-2</v>
      </c>
      <c r="S172" s="78">
        <f>VLOOKUP($D172,Engines_all!$A$3:'Engines_all'!$V$843,13,FALSE)</f>
        <v>0.10976153999999999</v>
      </c>
      <c r="T172" s="78">
        <f>VLOOKUP($D172,Engines_all!$A$3:'Engines_all'!$V$843,14,FALSE)</f>
        <v>6.8277419999999998</v>
      </c>
      <c r="U172" s="78">
        <f>VLOOKUP($D172,Engines_all!$A$3:'Engines_all'!$V$843,15,FALSE)</f>
        <v>8.5649633160000006E-3</v>
      </c>
      <c r="V172" s="222">
        <f>VLOOKUP($D172,Engines_all!$A$3:'Engines_all'!$V$843,16,FALSE)</f>
        <v>789847341687223.38</v>
      </c>
      <c r="W172" s="77">
        <f t="shared" si="253"/>
        <v>3.7023000000000004E-3</v>
      </c>
      <c r="X172" s="78">
        <f>IF(E172="K",Q172*'Rest Calc'!B$16,Q172*'Rest Calc'!B$17)</f>
        <v>22.584029999999998</v>
      </c>
      <c r="Y172" s="76">
        <f>VLOOKUP($D172,Engines_all!$A$3:'Engines_all'!$V$843,17,FALSE)</f>
        <v>150</v>
      </c>
      <c r="Z172" s="76">
        <f>VLOOKUP($D172,Engines_all!$A$3:'Engines_all'!$V$843,18,FALSE)</f>
        <v>0.15</v>
      </c>
      <c r="AA172" s="76">
        <f>VLOOKUP($D172,Engines_all!$A$3:'Engines_all'!$V$843,19,FALSE)</f>
        <v>6.84</v>
      </c>
      <c r="AB172" s="76">
        <f>VLOOKUP($D172,Engines_all!$A$3:'Engines_all'!$V$843,20,FALSE)</f>
        <v>150</v>
      </c>
      <c r="AC172" s="76">
        <f>VLOOKUP($D172,Engines_all!$A$3:'Engines_all'!$V$843,21,FALSE)</f>
        <v>6.0796799999999998E-2</v>
      </c>
      <c r="AD172" s="222">
        <f>VLOOKUP($D172,Engines_all!$A$3:'Engines_all'!$V$843,22,FALSE)</f>
        <v>43351387667536.984</v>
      </c>
      <c r="AE172" s="80">
        <f t="shared" si="254"/>
        <v>7.4999999999999997E-2</v>
      </c>
      <c r="AF172" s="79">
        <f>IF(E172="K",Y172*'Rest Calc'!B$16,Y172*'Rest Calc'!B$17)</f>
        <v>457.5</v>
      </c>
      <c r="AG172" s="79">
        <f>IF(ALECA_Input!D$121="Standard",VLOOKUP($B172,$A$211:$J$218,6,FALSE),VLOOKUP($B172,$A$211:$J$218,10,FALSE))</f>
        <v>0</v>
      </c>
      <c r="AH172" s="163">
        <v>90</v>
      </c>
      <c r="AI172" s="75">
        <v>7</v>
      </c>
      <c r="AJ172" s="74"/>
      <c r="AK172" s="74"/>
      <c r="AL172" s="74"/>
    </row>
    <row r="173" spans="1:38" x14ac:dyDescent="0.25">
      <c r="A173" s="74" t="s">
        <v>372</v>
      </c>
      <c r="B173" s="75" t="s">
        <v>386</v>
      </c>
      <c r="C173" s="74"/>
      <c r="D173" s="74" t="s">
        <v>225</v>
      </c>
      <c r="E173" s="75" t="s">
        <v>2936</v>
      </c>
      <c r="F173" s="136">
        <v>1</v>
      </c>
      <c r="G173" s="243">
        <f>VLOOKUP(D173,Engines_all!$A$3:$AZ$843,52,FALSE)</f>
        <v>0</v>
      </c>
      <c r="H173" s="74">
        <f>ALECA_Input!K91</f>
        <v>0</v>
      </c>
      <c r="I173" s="82">
        <f t="shared" si="245"/>
        <v>0</v>
      </c>
      <c r="J173" s="82">
        <f t="shared" si="246"/>
        <v>0</v>
      </c>
      <c r="K173" s="82">
        <f t="shared" si="247"/>
        <v>0</v>
      </c>
      <c r="L173" s="82">
        <f t="shared" si="248"/>
        <v>0</v>
      </c>
      <c r="M173" s="161">
        <f t="shared" si="249"/>
        <v>0</v>
      </c>
      <c r="N173" s="82">
        <f t="shared" si="250"/>
        <v>0</v>
      </c>
      <c r="O173" s="82">
        <f t="shared" si="251"/>
        <v>0</v>
      </c>
      <c r="P173" s="262">
        <f t="shared" si="252"/>
        <v>0</v>
      </c>
      <c r="Q173" s="76">
        <f>VLOOKUP($D173,Engines_all!$A$3:'Engines_all'!$V$843,11,FALSE)</f>
        <v>17.960999999999999</v>
      </c>
      <c r="R173" s="78">
        <f>VLOOKUP($D173,Engines_all!$A$3:'Engines_all'!$V$843,12,FALSE)</f>
        <v>0.19738326</v>
      </c>
      <c r="S173" s="78">
        <f>VLOOKUP($D173,Engines_all!$A$3:'Engines_all'!$V$843,13,FALSE)</f>
        <v>6.792359999999999E-3</v>
      </c>
      <c r="T173" s="78">
        <f>VLOOKUP($D173,Engines_all!$A$3:'Engines_all'!$V$843,14,FALSE)</f>
        <v>6.8644800000000006E-2</v>
      </c>
      <c r="U173" s="78">
        <f>VLOOKUP($D173,Engines_all!$A$3:'Engines_all'!$V$843,15,FALSE)</f>
        <v>6.0467837099999998E-3</v>
      </c>
      <c r="V173" s="222">
        <f>VLOOKUP($D173,Engines_all!$A$3:'Engines_all'!$V$843,16,FALSE)</f>
        <v>1.3176402274008154E+17</v>
      </c>
      <c r="W173" s="77">
        <f t="shared" si="253"/>
        <v>8.9804999999999989E-3</v>
      </c>
      <c r="X173" s="78">
        <f>IF(E173="K",Q173*'Rest Calc'!B$16,Q173*'Rest Calc'!B$17)</f>
        <v>56.75676</v>
      </c>
      <c r="Y173" s="76">
        <f>VLOOKUP($D173,Engines_all!$A$3:'Engines_all'!$V$843,17,FALSE)</f>
        <v>846</v>
      </c>
      <c r="Z173" s="76">
        <f>VLOOKUP($D173,Engines_all!$A$3:'Engines_all'!$V$843,18,FALSE)</f>
        <v>2.4195599999999997</v>
      </c>
      <c r="AA173" s="76">
        <f>VLOOKUP($D173,Engines_all!$A$3:'Engines_all'!$V$843,19,FALSE)</f>
        <v>66.927059999999997</v>
      </c>
      <c r="AB173" s="76">
        <f>VLOOKUP($D173,Engines_all!$A$3:'Engines_all'!$V$843,20,FALSE)</f>
        <v>52.028999999999996</v>
      </c>
      <c r="AC173" s="76">
        <f>VLOOKUP($D173,Engines_all!$A$3:'Engines_all'!$V$843,21,FALSE)</f>
        <v>0.60029512019999998</v>
      </c>
      <c r="AD173" s="222">
        <f>VLOOKUP($D173,Engines_all!$A$3:'Engines_all'!$V$843,22,FALSE)</f>
        <v>8270051171582382</v>
      </c>
      <c r="AE173" s="80">
        <f t="shared" si="254"/>
        <v>0.42299999999999999</v>
      </c>
      <c r="AF173" s="79">
        <f>IF(E173="K",Y173*'Rest Calc'!B$16,Y173*'Rest Calc'!B$17)</f>
        <v>2673.36</v>
      </c>
      <c r="AG173" s="79">
        <f>IF(ALECA_Input!D$121="Standard",VLOOKUP($B173,$A$211:$J$218,6,FALSE),VLOOKUP($B173,$A$211:$J$218,10,FALSE))</f>
        <v>0</v>
      </c>
      <c r="AH173" s="163">
        <v>180</v>
      </c>
      <c r="AI173" s="75">
        <v>6</v>
      </c>
      <c r="AJ173" s="74"/>
      <c r="AK173" s="74"/>
      <c r="AL173" s="74"/>
    </row>
    <row r="174" spans="1:38" x14ac:dyDescent="0.25">
      <c r="A174" s="74" t="s">
        <v>492</v>
      </c>
      <c r="B174" s="75" t="s">
        <v>396</v>
      </c>
      <c r="C174" s="74"/>
      <c r="D174" s="74" t="s">
        <v>672</v>
      </c>
      <c r="E174" s="75" t="s">
        <v>2936</v>
      </c>
      <c r="F174" s="136">
        <v>2</v>
      </c>
      <c r="G174" s="243">
        <f>VLOOKUP(D174,Engines_all!$A$3:$AZ$843,52,FALSE)</f>
        <v>9.7900000000000009</v>
      </c>
      <c r="H174" s="74">
        <f>ALECA_Input!K92</f>
        <v>0</v>
      </c>
      <c r="I174" s="82">
        <f t="shared" si="245"/>
        <v>0</v>
      </c>
      <c r="J174" s="82">
        <f t="shared" si="246"/>
        <v>0</v>
      </c>
      <c r="K174" s="82">
        <f t="shared" si="247"/>
        <v>0</v>
      </c>
      <c r="L174" s="82">
        <f t="shared" si="248"/>
        <v>0</v>
      </c>
      <c r="M174" s="161">
        <f t="shared" si="249"/>
        <v>0</v>
      </c>
      <c r="N174" s="82">
        <f t="shared" si="250"/>
        <v>0</v>
      </c>
      <c r="O174" s="82">
        <f t="shared" si="251"/>
        <v>0</v>
      </c>
      <c r="P174" s="262">
        <f t="shared" si="252"/>
        <v>0</v>
      </c>
      <c r="Q174" s="76">
        <f>VLOOKUP($D174,Engines_all!$A$3:'Engines_all'!$V$843,11,FALSE)</f>
        <v>12.168000000000001</v>
      </c>
      <c r="R174" s="78">
        <f>VLOOKUP($D174,Engines_all!$A$3:'Engines_all'!$V$843,12,FALSE)</f>
        <v>6.9021840000000001E-2</v>
      </c>
      <c r="S174" s="78">
        <f>VLOOKUP($D174,Engines_all!$A$3:'Engines_all'!$V$843,13,FALSE)</f>
        <v>2.1762000000000004E-2</v>
      </c>
      <c r="T174" s="78">
        <f>VLOOKUP($D174,Engines_all!$A$3:'Engines_all'!$V$843,14,FALSE)</f>
        <v>0.22072080000000005</v>
      </c>
      <c r="U174" s="78">
        <f>VLOOKUP($D174,Engines_all!$A$3:'Engines_all'!$V$843,15,FALSE)</f>
        <v>2.6722709037898117E-3</v>
      </c>
      <c r="V174" s="222">
        <f>VLOOKUP($D174,Engines_all!$A$3:'Engines_all'!$V$843,16,FALSE)</f>
        <v>2.1508272359637288E+16</v>
      </c>
      <c r="W174" s="77">
        <f t="shared" si="253"/>
        <v>6.0840000000000009E-3</v>
      </c>
      <c r="X174" s="78">
        <f>IF(E174="K",Q174*'Rest Calc'!B$16,Q174*'Rest Calc'!B$17)</f>
        <v>38.450880000000005</v>
      </c>
      <c r="Y174" s="76">
        <f>VLOOKUP($D174,Engines_all!$A$3:'Engines_all'!$V$843,17,FALSE)</f>
        <v>1380</v>
      </c>
      <c r="Z174" s="76">
        <f>VLOOKUP($D174,Engines_all!$A$3:'Engines_all'!$V$843,18,FALSE)</f>
        <v>2.415</v>
      </c>
      <c r="AA174" s="76">
        <f>VLOOKUP($D174,Engines_all!$A$3:'Engines_all'!$V$843,19,FALSE)</f>
        <v>69.69</v>
      </c>
      <c r="AB174" s="76">
        <f>VLOOKUP($D174,Engines_all!$A$3:'Engines_all'!$V$843,20,FALSE)</f>
        <v>182.16</v>
      </c>
      <c r="AC174" s="76">
        <f>VLOOKUP($D174,Engines_all!$A$3:'Engines_all'!$V$843,21,FALSE)</f>
        <v>0.61603175980769032</v>
      </c>
      <c r="AD174" s="222">
        <f>VLOOKUP($D174,Engines_all!$A$3:'Engines_all'!$V$843,22,FALSE)</f>
        <v>6714173086656880</v>
      </c>
      <c r="AE174" s="80">
        <f t="shared" si="254"/>
        <v>0.69000000000000006</v>
      </c>
      <c r="AF174" s="79">
        <f>IF(E174="K",Y174*'Rest Calc'!B$16,Y174*'Rest Calc'!B$17)</f>
        <v>4360.8</v>
      </c>
      <c r="AG174" s="79">
        <f>IF(ALECA_Input!D$121="Standard",VLOOKUP($B174,$A$211:$J$218,6,FALSE),VLOOKUP($B174,$A$211:$J$218,10,FALSE))</f>
        <v>0</v>
      </c>
      <c r="AH174" s="163">
        <f>G174/2+80</f>
        <v>84.894999999999996</v>
      </c>
      <c r="AI174" s="75">
        <v>5</v>
      </c>
      <c r="AJ174" s="74"/>
      <c r="AK174" s="74"/>
      <c r="AL174" s="74"/>
    </row>
    <row r="175" spans="1:38" x14ac:dyDescent="0.25">
      <c r="A175" s="74" t="s">
        <v>373</v>
      </c>
      <c r="B175" s="75" t="s">
        <v>384</v>
      </c>
      <c r="C175" s="74"/>
      <c r="D175" s="74" t="s">
        <v>1019</v>
      </c>
      <c r="E175" s="75" t="s">
        <v>2936</v>
      </c>
      <c r="F175" s="136">
        <v>2</v>
      </c>
      <c r="G175" s="243">
        <f>VLOOKUP(D175,Engines_all!$A$3:$AZ$843,52,FALSE)</f>
        <v>0</v>
      </c>
      <c r="H175" s="74">
        <f>ALECA_Input!K93</f>
        <v>0</v>
      </c>
      <c r="I175" s="82">
        <f t="shared" si="245"/>
        <v>0</v>
      </c>
      <c r="J175" s="82">
        <f t="shared" si="246"/>
        <v>0</v>
      </c>
      <c r="K175" s="82">
        <f t="shared" si="247"/>
        <v>0</v>
      </c>
      <c r="L175" s="82">
        <f t="shared" si="248"/>
        <v>0</v>
      </c>
      <c r="M175" s="161">
        <f t="shared" si="249"/>
        <v>0</v>
      </c>
      <c r="N175" s="82">
        <f t="shared" si="250"/>
        <v>0</v>
      </c>
      <c r="O175" s="82">
        <f t="shared" si="251"/>
        <v>0</v>
      </c>
      <c r="P175" s="262">
        <f t="shared" si="252"/>
        <v>0</v>
      </c>
      <c r="Q175" s="76">
        <f>VLOOKUP($D175,Engines_all!$A$3:'Engines_all'!$V$843,11,FALSE)</f>
        <v>6.2940000000000005</v>
      </c>
      <c r="R175" s="78">
        <f>VLOOKUP($D175,Engines_all!$A$3:'Engines_all'!$V$843,12,FALSE)</f>
        <v>1.5996E-2</v>
      </c>
      <c r="S175" s="78">
        <f>VLOOKUP($D175,Engines_all!$A$3:'Engines_all'!$V$843,13,FALSE)</f>
        <v>8.1366600000000011E-2</v>
      </c>
      <c r="T175" s="78">
        <f>VLOOKUP($D175,Engines_all!$A$3:'Engines_all'!$V$843,14,FALSE)</f>
        <v>6.2939999999999996</v>
      </c>
      <c r="U175" s="78">
        <f>VLOOKUP($D175,Engines_all!$A$3:'Engines_all'!$V$843,15,FALSE)</f>
        <v>8.6024019900000012E-3</v>
      </c>
      <c r="V175" s="222">
        <f>VLOOKUP($D175,Engines_all!$A$3:'Engines_all'!$V$843,16,FALSE)</f>
        <v>2146240897457658</v>
      </c>
      <c r="W175" s="77">
        <f t="shared" si="253"/>
        <v>3.1470000000000005E-3</v>
      </c>
      <c r="X175" s="78">
        <f>IF(E175="K",Q175*'Rest Calc'!B$16,Q175*'Rest Calc'!B$17)</f>
        <v>19.889040000000001</v>
      </c>
      <c r="Y175" s="76">
        <f>VLOOKUP($D175,Engines_all!$A$3:'Engines_all'!$V$843,17,FALSE)</f>
        <v>186</v>
      </c>
      <c r="Z175" s="76">
        <f>VLOOKUP($D175,Engines_all!$A$3:'Engines_all'!$V$843,18,FALSE)</f>
        <v>0.186</v>
      </c>
      <c r="AA175" s="76">
        <f>VLOOKUP($D175,Engines_all!$A$3:'Engines_all'!$V$843,19,FALSE)</f>
        <v>3.8130000000000002</v>
      </c>
      <c r="AB175" s="76">
        <f>VLOOKUP($D175,Engines_all!$A$3:'Engines_all'!$V$843,20,FALSE)</f>
        <v>186</v>
      </c>
      <c r="AC175" s="76">
        <f>VLOOKUP($D175,Engines_all!$A$3:'Engines_all'!$V$843,21,FALSE)</f>
        <v>6.053277E-2</v>
      </c>
      <c r="AD175" s="222">
        <f>VLOOKUP($D175,Engines_all!$A$3:'Engines_all'!$V$843,22,FALSE)</f>
        <v>107511441415491.73</v>
      </c>
      <c r="AE175" s="80">
        <f t="shared" si="254"/>
        <v>9.2999999999999999E-2</v>
      </c>
      <c r="AF175" s="79">
        <f>IF(E175="K",Y175*'Rest Calc'!B$16,Y175*'Rest Calc'!B$17)</f>
        <v>587.76</v>
      </c>
      <c r="AG175" s="79">
        <f>IF(ALECA_Input!D$121="Standard",VLOOKUP($B175,$A$211:$J$218,6,FALSE),VLOOKUP($B175,$A$211:$J$218,10,FALSE))</f>
        <v>5</v>
      </c>
      <c r="AH175" s="163">
        <v>90</v>
      </c>
      <c r="AI175" s="75">
        <v>8</v>
      </c>
      <c r="AJ175" s="74"/>
      <c r="AK175" s="74"/>
      <c r="AL175" s="74"/>
    </row>
    <row r="176" spans="1:38" x14ac:dyDescent="0.25">
      <c r="A176" s="74" t="s">
        <v>374</v>
      </c>
      <c r="B176" s="75" t="s">
        <v>385</v>
      </c>
      <c r="C176" s="74"/>
      <c r="D176" s="74" t="s">
        <v>2681</v>
      </c>
      <c r="E176" s="75" t="s">
        <v>2937</v>
      </c>
      <c r="F176" s="136">
        <v>2</v>
      </c>
      <c r="G176" s="243">
        <f>VLOOKUP(D176,Engines_all!$A$3:$AZ$843,52,FALSE)</f>
        <v>0</v>
      </c>
      <c r="H176" s="74">
        <f>ALECA_Input!K94</f>
        <v>0</v>
      </c>
      <c r="I176" s="82">
        <f t="shared" si="245"/>
        <v>0</v>
      </c>
      <c r="J176" s="82">
        <f t="shared" si="246"/>
        <v>0</v>
      </c>
      <c r="K176" s="82">
        <f t="shared" si="247"/>
        <v>0</v>
      </c>
      <c r="L176" s="82">
        <f t="shared" si="248"/>
        <v>0</v>
      </c>
      <c r="M176" s="161">
        <f t="shared" si="249"/>
        <v>0</v>
      </c>
      <c r="N176" s="82">
        <f t="shared" si="250"/>
        <v>0</v>
      </c>
      <c r="O176" s="82">
        <f t="shared" si="251"/>
        <v>0</v>
      </c>
      <c r="P176" s="262">
        <f t="shared" si="252"/>
        <v>0</v>
      </c>
      <c r="Q176" s="76">
        <f>VLOOKUP($D176,Engines_all!$A$3:'Engines_all'!$V$843,11,FALSE)</f>
        <v>7.4046000000000003</v>
      </c>
      <c r="R176" s="78">
        <f>VLOOKUP($D176,Engines_all!$A$3:'Engines_all'!$V$843,12,FALSE)</f>
        <v>3.0205800000000005E-2</v>
      </c>
      <c r="S176" s="78">
        <f>VLOOKUP($D176,Engines_all!$A$3:'Engines_all'!$V$843,13,FALSE)</f>
        <v>0.10976153999999999</v>
      </c>
      <c r="T176" s="78">
        <f>VLOOKUP($D176,Engines_all!$A$3:'Engines_all'!$V$843,14,FALSE)</f>
        <v>6.8277419999999998</v>
      </c>
      <c r="U176" s="78">
        <f>VLOOKUP($D176,Engines_all!$A$3:'Engines_all'!$V$843,15,FALSE)</f>
        <v>8.5649633160000006E-3</v>
      </c>
      <c r="V176" s="222">
        <f>VLOOKUP($D176,Engines_all!$A$3:'Engines_all'!$V$843,16,FALSE)</f>
        <v>789847341687223.38</v>
      </c>
      <c r="W176" s="77">
        <f t="shared" si="253"/>
        <v>3.7023000000000004E-3</v>
      </c>
      <c r="X176" s="78">
        <f>IF(E176="K",Q176*'Rest Calc'!B$16,Q176*'Rest Calc'!B$17)</f>
        <v>22.584029999999998</v>
      </c>
      <c r="Y176" s="76">
        <f>VLOOKUP($D176,Engines_all!$A$3:'Engines_all'!$V$843,17,FALSE)</f>
        <v>150</v>
      </c>
      <c r="Z176" s="76">
        <f>VLOOKUP($D176,Engines_all!$A$3:'Engines_all'!$V$843,18,FALSE)</f>
        <v>0.15</v>
      </c>
      <c r="AA176" s="76">
        <f>VLOOKUP($D176,Engines_all!$A$3:'Engines_all'!$V$843,19,FALSE)</f>
        <v>6.84</v>
      </c>
      <c r="AB176" s="76">
        <f>VLOOKUP($D176,Engines_all!$A$3:'Engines_all'!$V$843,20,FALSE)</f>
        <v>150</v>
      </c>
      <c r="AC176" s="76">
        <f>VLOOKUP($D176,Engines_all!$A$3:'Engines_all'!$V$843,21,FALSE)</f>
        <v>6.0796799999999998E-2</v>
      </c>
      <c r="AD176" s="222">
        <f>VLOOKUP($D176,Engines_all!$A$3:'Engines_all'!$V$843,22,FALSE)</f>
        <v>43351387667536.984</v>
      </c>
      <c r="AE176" s="80">
        <f t="shared" si="254"/>
        <v>7.4999999999999997E-2</v>
      </c>
      <c r="AF176" s="79">
        <f>IF(E176="K",Y176*'Rest Calc'!B$16,Y176*'Rest Calc'!B$17)</f>
        <v>457.5</v>
      </c>
      <c r="AG176" s="79">
        <f>IF(ALECA_Input!D$121="Standard",VLOOKUP($B176,$A$211:$J$218,6,FALSE),VLOOKUP($B176,$A$211:$J$218,10,FALSE))</f>
        <v>0</v>
      </c>
      <c r="AH176" s="163">
        <v>90</v>
      </c>
      <c r="AI176" s="75">
        <v>7</v>
      </c>
      <c r="AJ176" s="74"/>
      <c r="AK176" s="74"/>
      <c r="AL176" s="74"/>
    </row>
    <row r="177" spans="1:38" x14ac:dyDescent="0.25">
      <c r="A177" s="74" t="s">
        <v>375</v>
      </c>
      <c r="B177" s="75" t="s">
        <v>386</v>
      </c>
      <c r="C177" s="74"/>
      <c r="D177" s="74" t="s">
        <v>225</v>
      </c>
      <c r="E177" s="75" t="s">
        <v>2936</v>
      </c>
      <c r="F177" s="136">
        <v>2</v>
      </c>
      <c r="G177" s="243">
        <f>VLOOKUP(D177,Engines_all!$A$3:$AZ$843,52,FALSE)</f>
        <v>0</v>
      </c>
      <c r="H177" s="74">
        <f>ALECA_Input!K95</f>
        <v>0</v>
      </c>
      <c r="I177" s="82">
        <f t="shared" si="245"/>
        <v>0</v>
      </c>
      <c r="J177" s="82">
        <f t="shared" si="246"/>
        <v>0</v>
      </c>
      <c r="K177" s="82">
        <f t="shared" si="247"/>
        <v>0</v>
      </c>
      <c r="L177" s="82">
        <f t="shared" si="248"/>
        <v>0</v>
      </c>
      <c r="M177" s="161">
        <f t="shared" si="249"/>
        <v>0</v>
      </c>
      <c r="N177" s="82">
        <f t="shared" si="250"/>
        <v>0</v>
      </c>
      <c r="O177" s="82">
        <f t="shared" si="251"/>
        <v>0</v>
      </c>
      <c r="P177" s="262">
        <f t="shared" si="252"/>
        <v>0</v>
      </c>
      <c r="Q177" s="76">
        <f>VLOOKUP($D177,Engines_all!$A$3:'Engines_all'!$V$843,11,FALSE)</f>
        <v>17.960999999999999</v>
      </c>
      <c r="R177" s="78">
        <f>VLOOKUP($D177,Engines_all!$A$3:'Engines_all'!$V$843,12,FALSE)</f>
        <v>0.19738326</v>
      </c>
      <c r="S177" s="78">
        <f>VLOOKUP($D177,Engines_all!$A$3:'Engines_all'!$V$843,13,FALSE)</f>
        <v>6.792359999999999E-3</v>
      </c>
      <c r="T177" s="78">
        <f>VLOOKUP($D177,Engines_all!$A$3:'Engines_all'!$V$843,14,FALSE)</f>
        <v>6.8644800000000006E-2</v>
      </c>
      <c r="U177" s="78">
        <f>VLOOKUP($D177,Engines_all!$A$3:'Engines_all'!$V$843,15,FALSE)</f>
        <v>6.0467837099999998E-3</v>
      </c>
      <c r="V177" s="222">
        <f>VLOOKUP($D177,Engines_all!$A$3:'Engines_all'!$V$843,16,FALSE)</f>
        <v>1.3176402274008154E+17</v>
      </c>
      <c r="W177" s="77">
        <f t="shared" si="253"/>
        <v>8.9804999999999989E-3</v>
      </c>
      <c r="X177" s="78">
        <f>IF(E177="K",Q177*'Rest Calc'!B$16,Q177*'Rest Calc'!B$17)</f>
        <v>56.75676</v>
      </c>
      <c r="Y177" s="76">
        <f>VLOOKUP($D177,Engines_all!$A$3:'Engines_all'!$V$843,17,FALSE)</f>
        <v>846</v>
      </c>
      <c r="Z177" s="76">
        <f>VLOOKUP($D177,Engines_all!$A$3:'Engines_all'!$V$843,18,FALSE)</f>
        <v>2.4195599999999997</v>
      </c>
      <c r="AA177" s="76">
        <f>VLOOKUP($D177,Engines_all!$A$3:'Engines_all'!$V$843,19,FALSE)</f>
        <v>66.927059999999997</v>
      </c>
      <c r="AB177" s="76">
        <f>VLOOKUP($D177,Engines_all!$A$3:'Engines_all'!$V$843,20,FALSE)</f>
        <v>52.028999999999996</v>
      </c>
      <c r="AC177" s="76">
        <f>VLOOKUP($D177,Engines_all!$A$3:'Engines_all'!$V$843,21,FALSE)</f>
        <v>0.60029512019999998</v>
      </c>
      <c r="AD177" s="222">
        <f>VLOOKUP($D177,Engines_all!$A$3:'Engines_all'!$V$843,22,FALSE)</f>
        <v>8270051171582382</v>
      </c>
      <c r="AE177" s="80">
        <f t="shared" si="254"/>
        <v>0.42299999999999999</v>
      </c>
      <c r="AF177" s="79">
        <f>IF(E177="K",Y177*'Rest Calc'!B$16,Y177*'Rest Calc'!B$17)</f>
        <v>2673.36</v>
      </c>
      <c r="AG177" s="79">
        <f>IF(ALECA_Input!D$121="Standard",VLOOKUP($B177,$A$211:$J$218,6,FALSE),VLOOKUP($B177,$A$211:$J$218,10,FALSE))</f>
        <v>0</v>
      </c>
      <c r="AH177" s="163">
        <v>180</v>
      </c>
      <c r="AI177" s="75">
        <v>6</v>
      </c>
      <c r="AJ177" s="74"/>
      <c r="AK177" s="74"/>
      <c r="AL177" s="74"/>
    </row>
    <row r="178" spans="1:38" x14ac:dyDescent="0.25">
      <c r="A178" s="74" t="s">
        <v>376</v>
      </c>
      <c r="B178" s="75" t="s">
        <v>386</v>
      </c>
      <c r="C178" s="74"/>
      <c r="D178" s="74" t="s">
        <v>225</v>
      </c>
      <c r="E178" s="75" t="s">
        <v>2936</v>
      </c>
      <c r="F178" s="136">
        <v>3</v>
      </c>
      <c r="G178" s="243">
        <f>VLOOKUP(D178,Engines_all!$A$3:$AZ$843,52,FALSE)</f>
        <v>0</v>
      </c>
      <c r="H178" s="74">
        <f>ALECA_Input!K96</f>
        <v>0</v>
      </c>
      <c r="I178" s="82">
        <f t="shared" si="245"/>
        <v>0</v>
      </c>
      <c r="J178" s="82">
        <f t="shared" si="246"/>
        <v>0</v>
      </c>
      <c r="K178" s="82">
        <f t="shared" si="247"/>
        <v>0</v>
      </c>
      <c r="L178" s="82">
        <f t="shared" si="248"/>
        <v>0</v>
      </c>
      <c r="M178" s="161">
        <f t="shared" si="249"/>
        <v>0</v>
      </c>
      <c r="N178" s="82">
        <f t="shared" si="250"/>
        <v>0</v>
      </c>
      <c r="O178" s="82">
        <f t="shared" si="251"/>
        <v>0</v>
      </c>
      <c r="P178" s="262">
        <f t="shared" si="252"/>
        <v>0</v>
      </c>
      <c r="Q178" s="76">
        <f>VLOOKUP($D178,Engines_all!$A$3:'Engines_all'!$V$843,11,FALSE)</f>
        <v>17.960999999999999</v>
      </c>
      <c r="R178" s="78">
        <f>VLOOKUP($D178,Engines_all!$A$3:'Engines_all'!$V$843,12,FALSE)</f>
        <v>0.19738326</v>
      </c>
      <c r="S178" s="78">
        <f>VLOOKUP($D178,Engines_all!$A$3:'Engines_all'!$V$843,13,FALSE)</f>
        <v>6.792359999999999E-3</v>
      </c>
      <c r="T178" s="78">
        <f>VLOOKUP($D178,Engines_all!$A$3:'Engines_all'!$V$843,14,FALSE)</f>
        <v>6.8644800000000006E-2</v>
      </c>
      <c r="U178" s="78">
        <f>VLOOKUP($D178,Engines_all!$A$3:'Engines_all'!$V$843,15,FALSE)</f>
        <v>6.0467837099999998E-3</v>
      </c>
      <c r="V178" s="222">
        <f>VLOOKUP($D178,Engines_all!$A$3:'Engines_all'!$V$843,16,FALSE)</f>
        <v>1.3176402274008154E+17</v>
      </c>
      <c r="W178" s="77">
        <f t="shared" si="253"/>
        <v>8.9804999999999989E-3</v>
      </c>
      <c r="X178" s="78">
        <f>IF(E178="K",Q178*'Rest Calc'!B$16,Q178*'Rest Calc'!B$17)</f>
        <v>56.75676</v>
      </c>
      <c r="Y178" s="76">
        <f>VLOOKUP($D178,Engines_all!$A$3:'Engines_all'!$V$843,17,FALSE)</f>
        <v>846</v>
      </c>
      <c r="Z178" s="76">
        <f>VLOOKUP($D178,Engines_all!$A$3:'Engines_all'!$V$843,18,FALSE)</f>
        <v>2.4195599999999997</v>
      </c>
      <c r="AA178" s="76">
        <f>VLOOKUP($D178,Engines_all!$A$3:'Engines_all'!$V$843,19,FALSE)</f>
        <v>66.927059999999997</v>
      </c>
      <c r="AB178" s="76">
        <f>VLOOKUP($D178,Engines_all!$A$3:'Engines_all'!$V$843,20,FALSE)</f>
        <v>52.028999999999996</v>
      </c>
      <c r="AC178" s="76">
        <f>VLOOKUP($D178,Engines_all!$A$3:'Engines_all'!$V$843,21,FALSE)</f>
        <v>0.60029512019999998</v>
      </c>
      <c r="AD178" s="222">
        <f>VLOOKUP($D178,Engines_all!$A$3:'Engines_all'!$V$843,22,FALSE)</f>
        <v>8270051171582382</v>
      </c>
      <c r="AE178" s="80">
        <f t="shared" si="254"/>
        <v>0.42299999999999999</v>
      </c>
      <c r="AF178" s="79">
        <f>IF(E178="K",Y178*'Rest Calc'!B$16,Y178*'Rest Calc'!B$17)</f>
        <v>2673.36</v>
      </c>
      <c r="AG178" s="79">
        <f>IF(ALECA_Input!D$121="Standard",VLOOKUP($B178,$A$211:$J$218,6,FALSE),VLOOKUP($B178,$A$211:$J$218,10,FALSE))</f>
        <v>0</v>
      </c>
      <c r="AH178" s="163">
        <v>180</v>
      </c>
      <c r="AI178" s="75">
        <v>6</v>
      </c>
      <c r="AJ178" s="74"/>
      <c r="AK178" s="74"/>
      <c r="AL178" s="74"/>
    </row>
    <row r="179" spans="1:38" x14ac:dyDescent="0.25">
      <c r="A179" s="74" t="s">
        <v>377</v>
      </c>
      <c r="B179" s="75" t="s">
        <v>386</v>
      </c>
      <c r="C179" s="74"/>
      <c r="D179" s="74" t="s">
        <v>214</v>
      </c>
      <c r="E179" s="75" t="s">
        <v>2936</v>
      </c>
      <c r="F179" s="136">
        <v>4</v>
      </c>
      <c r="G179" s="243">
        <f>VLOOKUP(D179,Engines_all!$A$3:$AZ$843,52,FALSE)</f>
        <v>0</v>
      </c>
      <c r="H179" s="74">
        <f>ALECA_Input!K97</f>
        <v>0</v>
      </c>
      <c r="I179" s="82">
        <f t="shared" si="245"/>
        <v>0</v>
      </c>
      <c r="J179" s="82">
        <f t="shared" si="246"/>
        <v>0</v>
      </c>
      <c r="K179" s="82">
        <f t="shared" si="247"/>
        <v>0</v>
      </c>
      <c r="L179" s="82">
        <f t="shared" si="248"/>
        <v>0</v>
      </c>
      <c r="M179" s="161">
        <f t="shared" si="249"/>
        <v>0</v>
      </c>
      <c r="N179" s="82">
        <f t="shared" si="250"/>
        <v>0</v>
      </c>
      <c r="O179" s="82">
        <f t="shared" si="251"/>
        <v>0</v>
      </c>
      <c r="P179" s="262">
        <f t="shared" si="252"/>
        <v>0</v>
      </c>
      <c r="Q179" s="76">
        <f>VLOOKUP($D179,Engines_all!$A$3:'Engines_all'!$V$843,11,FALSE)</f>
        <v>89.288999999999987</v>
      </c>
      <c r="R179" s="78">
        <f>VLOOKUP($D179,Engines_all!$A$3:'Engines_all'!$V$843,12,FALSE)</f>
        <v>0.75311514000000002</v>
      </c>
      <c r="S179" s="78">
        <f>VLOOKUP($D179,Engines_all!$A$3:'Engines_all'!$V$843,13,FALSE)</f>
        <v>0.11547423</v>
      </c>
      <c r="T179" s="78">
        <f>VLOOKUP($D179,Engines_all!$A$3:'Engines_all'!$V$843,14,FALSE)</f>
        <v>0.30292470000000005</v>
      </c>
      <c r="U179" s="78">
        <f>VLOOKUP($D179,Engines_all!$A$3:'Engines_all'!$V$843,15,FALSE)</f>
        <v>5.191797024E-2</v>
      </c>
      <c r="V179" s="222">
        <f>VLOOKUP($D179,Engines_all!$A$3:'Engines_all'!$V$843,16,FALSE)</f>
        <v>1.1135336262080087E+18</v>
      </c>
      <c r="W179" s="77">
        <f t="shared" si="253"/>
        <v>4.4644499999999997E-2</v>
      </c>
      <c r="X179" s="78">
        <f>IF(E179="K",Q179*'Rest Calc'!B$16,Q179*'Rest Calc'!B$17)</f>
        <v>282.15323999999998</v>
      </c>
      <c r="Y179" s="76">
        <f>VLOOKUP($D179,Engines_all!$A$3:'Engines_all'!$V$843,17,FALSE)</f>
        <v>4614</v>
      </c>
      <c r="Z179" s="76">
        <f>VLOOKUP($D179,Engines_all!$A$3:'Engines_all'!$V$843,18,FALSE)</f>
        <v>16.24128</v>
      </c>
      <c r="AA179" s="76">
        <f>VLOOKUP($D179,Engines_all!$A$3:'Engines_all'!$V$843,19,FALSE)</f>
        <v>81.252539999999996</v>
      </c>
      <c r="AB179" s="76">
        <f>VLOOKUP($D179,Engines_all!$A$3:'Engines_all'!$V$843,20,FALSE)</f>
        <v>201.1704</v>
      </c>
      <c r="AC179" s="76">
        <f>VLOOKUP($D179,Engines_all!$A$3:'Engines_all'!$V$843,21,FALSE)</f>
        <v>2.1114296118000002</v>
      </c>
      <c r="AD179" s="222">
        <f>VLOOKUP($D179,Engines_all!$A$3:'Engines_all'!$V$843,22,FALSE)</f>
        <v>7.8441805130395952E+16</v>
      </c>
      <c r="AE179" s="80">
        <f t="shared" si="254"/>
        <v>2.3069999999999999</v>
      </c>
      <c r="AF179" s="79">
        <f>IF(E179="K",Y179*'Rest Calc'!B$16,Y179*'Rest Calc'!B$17)</f>
        <v>14580.24</v>
      </c>
      <c r="AG179" s="79">
        <f>IF(ALECA_Input!D$121="Standard",VLOOKUP($B179,$A$211:$J$218,6,FALSE),VLOOKUP($B179,$A$211:$J$218,10,FALSE))</f>
        <v>0</v>
      </c>
      <c r="AH179" s="163">
        <v>180</v>
      </c>
      <c r="AI179" s="75">
        <v>6</v>
      </c>
      <c r="AJ179" s="74"/>
      <c r="AK179" s="74"/>
      <c r="AL179" s="74"/>
    </row>
    <row r="180" spans="1:38" ht="5.4" customHeight="1" x14ac:dyDescent="0.25">
      <c r="C180" s="74"/>
      <c r="D180" s="74"/>
      <c r="E180" s="75"/>
      <c r="F180" s="136"/>
      <c r="G180" s="243"/>
      <c r="H180" s="74"/>
      <c r="I180" s="86"/>
      <c r="J180" s="86"/>
      <c r="K180" s="86"/>
      <c r="L180" s="86"/>
      <c r="M180" s="86"/>
      <c r="N180" s="86"/>
      <c r="O180" s="86"/>
      <c r="Q180" s="74"/>
      <c r="V180" s="169"/>
      <c r="AC180" s="74"/>
      <c r="AD180" s="169"/>
      <c r="AG180" s="133"/>
      <c r="AH180" s="163"/>
      <c r="AJ180" s="74"/>
      <c r="AK180" s="74"/>
      <c r="AL180" s="74"/>
    </row>
    <row r="181" spans="1:38" s="97" customFormat="1" x14ac:dyDescent="0.25">
      <c r="A181" s="97" t="s">
        <v>3443</v>
      </c>
      <c r="E181" s="172"/>
      <c r="F181" s="137"/>
      <c r="G181" s="244"/>
      <c r="H181" s="371">
        <f t="shared" ref="H181:O181" si="255">SUM(H5:H180)</f>
        <v>0</v>
      </c>
      <c r="I181" s="177">
        <f t="shared" si="255"/>
        <v>0</v>
      </c>
      <c r="J181" s="177">
        <f t="shared" si="255"/>
        <v>0</v>
      </c>
      <c r="K181" s="177">
        <f t="shared" si="255"/>
        <v>0</v>
      </c>
      <c r="L181" s="177">
        <f t="shared" si="255"/>
        <v>0</v>
      </c>
      <c r="M181" s="162">
        <f t="shared" si="255"/>
        <v>0</v>
      </c>
      <c r="N181" s="177">
        <f t="shared" si="255"/>
        <v>0</v>
      </c>
      <c r="O181" s="177">
        <f t="shared" si="255"/>
        <v>0</v>
      </c>
      <c r="P181" s="177">
        <f>SUM(P5:P179)</f>
        <v>0</v>
      </c>
      <c r="V181" s="223"/>
      <c r="AD181" s="223"/>
      <c r="AG181" s="134"/>
      <c r="AH181" s="165"/>
      <c r="AI181" s="172"/>
    </row>
    <row r="182" spans="1:38" s="97" customFormat="1" x14ac:dyDescent="0.25">
      <c r="E182" s="144" t="s">
        <v>3429</v>
      </c>
      <c r="F182" s="137"/>
      <c r="G182" s="369"/>
      <c r="H182" s="373" t="e">
        <f>H181/ALECA_Input!F9</f>
        <v>#DIV/0!</v>
      </c>
      <c r="I182" s="370"/>
      <c r="J182" s="177"/>
      <c r="K182" s="177"/>
      <c r="L182" s="177"/>
      <c r="M182" s="162"/>
      <c r="N182" s="177"/>
      <c r="O182" s="177"/>
      <c r="P182" s="177"/>
      <c r="V182" s="223"/>
      <c r="AD182" s="223"/>
      <c r="AG182" s="134"/>
      <c r="AH182" s="165"/>
      <c r="AI182" s="172"/>
    </row>
    <row r="183" spans="1:38" s="97" customFormat="1" x14ac:dyDescent="0.25">
      <c r="E183" s="452"/>
      <c r="F183" s="453"/>
      <c r="G183" s="369"/>
      <c r="H183" s="379"/>
      <c r="I183" s="370"/>
      <c r="J183" s="177"/>
      <c r="K183" s="177"/>
      <c r="L183" s="177"/>
      <c r="M183" s="162"/>
      <c r="N183" s="177"/>
      <c r="O183" s="177"/>
      <c r="P183" s="177"/>
      <c r="V183" s="223"/>
      <c r="AD183" s="223"/>
      <c r="AG183" s="134"/>
      <c r="AH183" s="165"/>
      <c r="AI183" s="172"/>
    </row>
    <row r="184" spans="1:38" ht="12.75" customHeight="1" x14ac:dyDescent="0.25">
      <c r="A184" s="73" t="s">
        <v>3448</v>
      </c>
      <c r="B184" s="73"/>
      <c r="D184" s="173"/>
      <c r="E184" s="454" t="s">
        <v>3527</v>
      </c>
      <c r="F184" s="455"/>
      <c r="G184" s="451"/>
      <c r="H184" s="288"/>
      <c r="I184" s="73" t="str">
        <f>CONCATENATE("Aircraft Emissions (",K3,"-LTO):")</f>
        <v>Aircraft Emissions (ICAO (3000ft)-LTO):</v>
      </c>
      <c r="J184" s="73"/>
      <c r="K184" s="73"/>
      <c r="L184" s="625" t="str">
        <f>ALECA_Input!J13</f>
        <v>Performance-based</v>
      </c>
      <c r="M184" s="626"/>
      <c r="Q184" s="376" t="s">
        <v>3444</v>
      </c>
      <c r="R184" s="374"/>
      <c r="S184" s="374"/>
      <c r="T184" s="374"/>
      <c r="U184" s="374"/>
      <c r="V184" s="375"/>
      <c r="W184" s="376"/>
      <c r="X184" s="376"/>
      <c r="Y184" s="133"/>
      <c r="Z184" s="133"/>
      <c r="AA184" s="133"/>
      <c r="AB184" s="133"/>
      <c r="AC184" s="133"/>
      <c r="AD184" s="169"/>
      <c r="AH184" s="74"/>
      <c r="AJ184" s="74"/>
      <c r="AK184" s="74"/>
      <c r="AL184" s="74"/>
    </row>
    <row r="185" spans="1:38" x14ac:dyDescent="0.25">
      <c r="A185" s="367" t="s">
        <v>3438</v>
      </c>
      <c r="B185" s="368"/>
      <c r="C185" s="347" t="s">
        <v>3431</v>
      </c>
      <c r="D185" s="421"/>
      <c r="E185" s="430" t="s">
        <v>3510</v>
      </c>
      <c r="F185" s="431" t="s">
        <v>3511</v>
      </c>
      <c r="G185" s="425"/>
      <c r="H185" s="365" t="str">
        <f t="shared" ref="H185:P185" si="256">H4</f>
        <v># Mvmt</v>
      </c>
      <c r="I185" s="366" t="str">
        <f t="shared" si="256"/>
        <v>NOx (kg)</v>
      </c>
      <c r="J185" s="366" t="str">
        <f t="shared" si="256"/>
        <v>HC (kg)</v>
      </c>
      <c r="K185" s="366" t="str">
        <f t="shared" si="256"/>
        <v>CO (kg)</v>
      </c>
      <c r="L185" s="366" t="str">
        <f t="shared" si="256"/>
        <v>PM (kg)</v>
      </c>
      <c r="M185" s="366" t="str">
        <f t="shared" si="256"/>
        <v>nvPN (#)</v>
      </c>
      <c r="N185" s="366" t="str">
        <f t="shared" si="256"/>
        <v>SOx (kg)</v>
      </c>
      <c r="O185" s="366" t="str">
        <f t="shared" si="256"/>
        <v>CO2 (kg)</v>
      </c>
      <c r="P185" s="366" t="str">
        <f t="shared" si="256"/>
        <v>HC 
(kg)</v>
      </c>
      <c r="Q185" s="377" t="s">
        <v>414</v>
      </c>
      <c r="R185" s="364" t="s">
        <v>511</v>
      </c>
      <c r="S185" s="364" t="s">
        <v>388</v>
      </c>
      <c r="T185" s="364" t="s">
        <v>389</v>
      </c>
      <c r="U185" s="364" t="s">
        <v>1</v>
      </c>
      <c r="V185" s="364" t="s">
        <v>3440</v>
      </c>
      <c r="W185" s="364" t="s">
        <v>512</v>
      </c>
      <c r="X185" s="364" t="s">
        <v>431</v>
      </c>
    </row>
    <row r="186" spans="1:38" s="98" customFormat="1" ht="12.75" customHeight="1" x14ac:dyDescent="0.25">
      <c r="A186" s="115" t="s">
        <v>383</v>
      </c>
      <c r="C186" s="336">
        <f>H186/2*(ALECA_Input!D123+ALECA_Input!D125)</f>
        <v>0</v>
      </c>
      <c r="D186" s="422"/>
      <c r="E186" s="490">
        <v>320</v>
      </c>
      <c r="F186" s="432">
        <f>H186*E186</f>
        <v>0</v>
      </c>
      <c r="G186" s="426"/>
      <c r="H186" s="269">
        <f t="shared" ref="H186:H193" si="257">SUMIF(B$5:B$179,A186,H$5:H$179)</f>
        <v>0</v>
      </c>
      <c r="I186" s="480">
        <f>IF(ALECA_Input!$J$13='Rest Calc'!$H$13,SUMIF($B$5:$B$179,$A186,I$5:I$179),'Aircraft Calc'!R186*(SUMIF($B$5:$B$179,$A186,I$5:I$179)))</f>
        <v>0</v>
      </c>
      <c r="J186" s="480">
        <f>IF(ALECA_Input!$J$13='Rest Calc'!$H$13,SUMIF($B$5:$B$179,$A186,J$5:J$179),'Aircraft Calc'!S186*(SUMIF($B$5:$B$179,$A186,J$5:J$179)))</f>
        <v>0</v>
      </c>
      <c r="K186" s="480">
        <f>IF(ALECA_Input!$J$13='Rest Calc'!$H$13,SUMIF($B$5:$B$179,$A186,K$5:K$179),'Aircraft Calc'!T186*(SUMIF($B$5:$B$179,$A186,K$5:K$179)))</f>
        <v>0</v>
      </c>
      <c r="L186" s="480">
        <f>IF(ALECA_Input!$J$13='Rest Calc'!$H$13,SUMIF($B$5:$B$179,$A186,L$5:L$179),'Aircraft Calc'!U186*(SUMIF($B$5:$B$179,$A186,L$5:L$179)))</f>
        <v>0</v>
      </c>
      <c r="M186" s="161">
        <f>IF(ALECA_Input!$J$13='Rest Calc'!$H$13,SUMIF($B$5:$B$179,$A186,M$5:M$179),'Aircraft Calc'!V186*(SUMIF($B$5:$B$179,$A186,M$5:M$179)))</f>
        <v>0</v>
      </c>
      <c r="N186" s="480">
        <f>IF(ALECA_Input!$J$13='Rest Calc'!$H$13,SUMIF($B$5:$B$179,$A186,N$5:N$179),'Aircraft Calc'!W186*(SUMIF($B$5:$B$179,$A186,N$5:N$179)))</f>
        <v>0</v>
      </c>
      <c r="O186" s="480">
        <f>IF(ALECA_Input!$J$13='Rest Calc'!$H$13,SUMIF($B$5:$B$179,$A186,O$5:O$179),'Aircraft Calc'!X186*(SUMIF($B$5:$B$179,$A186,O$5:O$179)))</f>
        <v>0</v>
      </c>
      <c r="P186" s="480">
        <f t="shared" ref="P186:P193" si="258">SUMIF($B$5:$B$179,$A186,P$5:P$179)</f>
        <v>0</v>
      </c>
      <c r="Q186" s="489">
        <v>0.90630749870902083</v>
      </c>
      <c r="R186" s="489">
        <v>0.88433451175927236</v>
      </c>
      <c r="S186" s="489">
        <v>1.4173948043016134</v>
      </c>
      <c r="T186" s="489">
        <v>1.0471304039628357</v>
      </c>
      <c r="U186" s="489">
        <v>0.89505389604999464</v>
      </c>
      <c r="V186" s="489">
        <v>0.94944217578135426</v>
      </c>
      <c r="W186" s="489">
        <v>0.90640379215603384</v>
      </c>
      <c r="X186" s="489">
        <v>0.90640379215603384</v>
      </c>
      <c r="AC186" s="224"/>
      <c r="AH186" s="86"/>
      <c r="AI186" s="393"/>
      <c r="AJ186" s="86"/>
      <c r="AK186" s="86"/>
      <c r="AL186" s="163"/>
    </row>
    <row r="187" spans="1:38" s="98" customFormat="1" x14ac:dyDescent="0.25">
      <c r="A187" s="115" t="s">
        <v>393</v>
      </c>
      <c r="C187" s="336">
        <f>H187/2*(ALECA_Input!F123+ALECA_Input!F125)</f>
        <v>0</v>
      </c>
      <c r="D187" s="422"/>
      <c r="E187" s="490">
        <v>210</v>
      </c>
      <c r="F187" s="432">
        <f t="shared" ref="F187:F193" si="259">H187*E187</f>
        <v>0</v>
      </c>
      <c r="G187" s="426"/>
      <c r="H187" s="269">
        <f t="shared" si="257"/>
        <v>0</v>
      </c>
      <c r="I187" s="480">
        <f>IF(ALECA_Input!$J$13='Rest Calc'!$H$13,SUMIF($B$5:$B$179,$A187,I$5:I$179),'Aircraft Calc'!R187*(SUMIF($B$5:$B$179,$A187,I$5:I$179)))</f>
        <v>0</v>
      </c>
      <c r="J187" s="480">
        <f>IF(ALECA_Input!$J$13='Rest Calc'!$H$13,SUMIF($B$5:$B$179,$A187,J$5:J$179),'Aircraft Calc'!S187*(SUMIF($B$5:$B$179,$A187,J$5:J$179)))</f>
        <v>0</v>
      </c>
      <c r="K187" s="480">
        <f>IF(ALECA_Input!$J$13='Rest Calc'!$H$13,SUMIF($B$5:$B$179,$A187,K$5:K$179),'Aircraft Calc'!T187*(SUMIF($B$5:$B$179,$A187,K$5:K$179)))</f>
        <v>0</v>
      </c>
      <c r="L187" s="480">
        <f>IF(ALECA_Input!$J$13='Rest Calc'!$H$13,SUMIF($B$5:$B$179,$A187,L$5:L$179),'Aircraft Calc'!U187*(SUMIF($B$5:$B$179,$A187,L$5:L$179)))</f>
        <v>0</v>
      </c>
      <c r="M187" s="161">
        <f>IF(ALECA_Input!$J$13='Rest Calc'!$H$13,SUMIF($B$5:$B$179,$A187,M$5:M$179),'Aircraft Calc'!V187*(SUMIF($B$5:$B$179,$A187,M$5:M$179)))</f>
        <v>0</v>
      </c>
      <c r="N187" s="480">
        <f>IF(ALECA_Input!$J$13='Rest Calc'!$H$13,SUMIF($B$5:$B$179,$A187,N$5:N$179),'Aircraft Calc'!W187*(SUMIF($B$5:$B$179,$A187,N$5:N$179)))</f>
        <v>0</v>
      </c>
      <c r="O187" s="480">
        <f>IF(ALECA_Input!$J$13='Rest Calc'!$H$13,SUMIF($B$5:$B$179,$A187,O$5:O$179),'Aircraft Calc'!X187*(SUMIF($B$5:$B$179,$A187,O$5:O$179)))</f>
        <v>0</v>
      </c>
      <c r="P187" s="480">
        <f t="shared" si="258"/>
        <v>0</v>
      </c>
      <c r="Q187" s="489">
        <v>0.96124348558294082</v>
      </c>
      <c r="R187" s="489">
        <v>0.96821486654548927</v>
      </c>
      <c r="S187" s="489">
        <v>1.116704316285301</v>
      </c>
      <c r="T187" s="489">
        <v>1.0247623536805719</v>
      </c>
      <c r="U187" s="489">
        <v>0.96369750797620068</v>
      </c>
      <c r="V187" s="489">
        <v>0.99978248689977922</v>
      </c>
      <c r="W187" s="489">
        <v>0.9614886310033276</v>
      </c>
      <c r="X187" s="489">
        <v>0.9614886310033276</v>
      </c>
      <c r="AC187" s="224"/>
      <c r="AH187" s="86"/>
      <c r="AI187" s="393"/>
      <c r="AJ187" s="86"/>
      <c r="AK187" s="86"/>
      <c r="AL187" s="163"/>
    </row>
    <row r="188" spans="1:38" s="98" customFormat="1" x14ac:dyDescent="0.25">
      <c r="A188" s="115" t="s">
        <v>394</v>
      </c>
      <c r="C188" s="336">
        <f>H188/2*(ALECA_Input!H123+ALECA_Input!H125)</f>
        <v>0</v>
      </c>
      <c r="D188" s="422"/>
      <c r="E188" s="490">
        <v>145</v>
      </c>
      <c r="F188" s="432">
        <f t="shared" si="259"/>
        <v>0</v>
      </c>
      <c r="G188" s="426"/>
      <c r="H188" s="269">
        <f t="shared" si="257"/>
        <v>0</v>
      </c>
      <c r="I188" s="480">
        <f>IF(ALECA_Input!$J$13='Rest Calc'!$H$13,SUMIF($B$5:$B$179,$A188,I$5:I$179),'Aircraft Calc'!R188*(SUMIF($B$5:$B$179,$A188,I$5:I$179)))</f>
        <v>0</v>
      </c>
      <c r="J188" s="480">
        <f>IF(ALECA_Input!$J$13='Rest Calc'!$H$13,SUMIF($B$5:$B$179,$A188,J$5:J$179),'Aircraft Calc'!S188*(SUMIF($B$5:$B$179,$A188,J$5:J$179)))</f>
        <v>0</v>
      </c>
      <c r="K188" s="480">
        <f>IF(ALECA_Input!$J$13='Rest Calc'!$H$13,SUMIF($B$5:$B$179,$A188,K$5:K$179),'Aircraft Calc'!T188*(SUMIF($B$5:$B$179,$A188,K$5:K$179)))</f>
        <v>0</v>
      </c>
      <c r="L188" s="480">
        <f>IF(ALECA_Input!$J$13='Rest Calc'!$H$13,SUMIF($B$5:$B$179,$A188,L$5:L$179),'Aircraft Calc'!U188*(SUMIF($B$5:$B$179,$A188,L$5:L$179)))</f>
        <v>0</v>
      </c>
      <c r="M188" s="161">
        <f>IF(ALECA_Input!$J$13='Rest Calc'!$H$13,SUMIF($B$5:$B$179,$A188,M$5:M$179),'Aircraft Calc'!V188*(SUMIF($B$5:$B$179,$A188,M$5:M$179)))</f>
        <v>0</v>
      </c>
      <c r="N188" s="480">
        <f>IF(ALECA_Input!$J$13='Rest Calc'!$H$13,SUMIF($B$5:$B$179,$A188,N$5:N$179),'Aircraft Calc'!W188*(SUMIF($B$5:$B$179,$A188,N$5:N$179)))</f>
        <v>0</v>
      </c>
      <c r="O188" s="480">
        <f>IF(ALECA_Input!$J$13='Rest Calc'!$H$13,SUMIF($B$5:$B$179,$A188,O$5:O$179),'Aircraft Calc'!X188*(SUMIF($B$5:$B$179,$A188,O$5:O$179)))</f>
        <v>0</v>
      </c>
      <c r="P188" s="480">
        <f t="shared" si="258"/>
        <v>0</v>
      </c>
      <c r="Q188" s="489">
        <v>0.87753816838659726</v>
      </c>
      <c r="R188" s="489">
        <v>0.80280945274352711</v>
      </c>
      <c r="S188" s="489">
        <v>0.93097722512595049</v>
      </c>
      <c r="T188" s="489">
        <v>0.95782897244244536</v>
      </c>
      <c r="U188" s="489">
        <v>0.87945648147418365</v>
      </c>
      <c r="V188" s="489">
        <v>0.94298713641091647</v>
      </c>
      <c r="W188" s="489">
        <v>0.87747001664312219</v>
      </c>
      <c r="X188" s="489">
        <v>0.87747001664312219</v>
      </c>
      <c r="AC188" s="224"/>
      <c r="AH188" s="86"/>
      <c r="AI188" s="393"/>
      <c r="AJ188" s="86"/>
      <c r="AK188" s="86"/>
      <c r="AL188" s="163"/>
    </row>
    <row r="189" spans="1:38" s="98" customFormat="1" x14ac:dyDescent="0.25">
      <c r="A189" s="115" t="s">
        <v>395</v>
      </c>
      <c r="C189" s="336">
        <f>H189/2*(ALECA_Input!J123+ALECA_Input!J125)</f>
        <v>0</v>
      </c>
      <c r="D189" s="422"/>
      <c r="E189" s="490">
        <v>50</v>
      </c>
      <c r="F189" s="432">
        <f t="shared" si="259"/>
        <v>0</v>
      </c>
      <c r="G189" s="426"/>
      <c r="H189" s="269">
        <f t="shared" si="257"/>
        <v>0</v>
      </c>
      <c r="I189" s="480">
        <f>IF(ALECA_Input!$J$13='Rest Calc'!$H$13,SUMIF($B$5:$B$179,$A189,I$5:I$179),'Aircraft Calc'!R189*(SUMIF($B$5:$B$179,$A189,I$5:I$179)))</f>
        <v>0</v>
      </c>
      <c r="J189" s="480">
        <f>IF(ALECA_Input!$J$13='Rest Calc'!$H$13,SUMIF($B$5:$B$179,$A189,J$5:J$179),'Aircraft Calc'!S189*(SUMIF($B$5:$B$179,$A189,J$5:J$179)))</f>
        <v>0</v>
      </c>
      <c r="K189" s="480">
        <f>IF(ALECA_Input!$J$13='Rest Calc'!$H$13,SUMIF($B$5:$B$179,$A189,K$5:K$179),'Aircraft Calc'!T189*(SUMIF($B$5:$B$179,$A189,K$5:K$179)))</f>
        <v>0</v>
      </c>
      <c r="L189" s="480">
        <f>IF(ALECA_Input!$J$13='Rest Calc'!$H$13,SUMIF($B$5:$B$179,$A189,L$5:L$179),'Aircraft Calc'!U189*(SUMIF($B$5:$B$179,$A189,L$5:L$179)))</f>
        <v>0</v>
      </c>
      <c r="M189" s="161">
        <f>IF(ALECA_Input!$J$13='Rest Calc'!$H$13,SUMIF($B$5:$B$179,$A189,M$5:M$179),'Aircraft Calc'!V189*(SUMIF($B$5:$B$179,$A189,M$5:M$179)))</f>
        <v>0</v>
      </c>
      <c r="N189" s="480">
        <f>IF(ALECA_Input!$J$13='Rest Calc'!$H$13,SUMIF($B$5:$B$179,$A189,N$5:N$179),'Aircraft Calc'!W189*(SUMIF($B$5:$B$179,$A189,N$5:N$179)))</f>
        <v>0</v>
      </c>
      <c r="O189" s="480">
        <f>IF(ALECA_Input!$J$13='Rest Calc'!$H$13,SUMIF($B$5:$B$179,$A189,O$5:O$179),'Aircraft Calc'!X189*(SUMIF($B$5:$B$179,$A189,O$5:O$179)))</f>
        <v>0</v>
      </c>
      <c r="P189" s="480">
        <f t="shared" si="258"/>
        <v>0</v>
      </c>
      <c r="Q189" s="489">
        <v>0.83646997859254479</v>
      </c>
      <c r="R189" s="489">
        <v>0.79710455338727593</v>
      </c>
      <c r="S189" s="489">
        <v>1.1538131625841914</v>
      </c>
      <c r="T189" s="489">
        <v>0.9556828833750286</v>
      </c>
      <c r="U189" s="489">
        <v>0.82808526341968236</v>
      </c>
      <c r="V189" s="489">
        <v>0.91387121489723178</v>
      </c>
      <c r="W189" s="489">
        <v>0.8365455553940021</v>
      </c>
      <c r="X189" s="489">
        <v>0.8365455553940021</v>
      </c>
      <c r="AC189" s="224"/>
      <c r="AH189" s="86"/>
      <c r="AI189" s="393"/>
      <c r="AJ189" s="86"/>
      <c r="AK189" s="86"/>
      <c r="AL189" s="163"/>
    </row>
    <row r="190" spans="1:38" s="98" customFormat="1" x14ac:dyDescent="0.25">
      <c r="A190" s="115" t="s">
        <v>396</v>
      </c>
      <c r="C190" s="336">
        <f>H190/2*(ALECA_Input!J123+ALECA_Input!J125)</f>
        <v>0</v>
      </c>
      <c r="D190" s="422"/>
      <c r="E190" s="490">
        <v>6</v>
      </c>
      <c r="F190" s="432">
        <f t="shared" si="259"/>
        <v>0</v>
      </c>
      <c r="G190" s="426"/>
      <c r="H190" s="269">
        <f t="shared" si="257"/>
        <v>0</v>
      </c>
      <c r="I190" s="480">
        <f>IF(ALECA_Input!$J$13='Rest Calc'!$H$13,SUMIF($B$5:$B$179,$A190,I$5:I$179),'Aircraft Calc'!R190*(SUMIF($B$5:$B$179,$A190,I$5:I$179)))</f>
        <v>0</v>
      </c>
      <c r="J190" s="480">
        <f>IF(ALECA_Input!$J$13='Rest Calc'!$H$13,SUMIF($B$5:$B$179,$A190,J$5:J$179),'Aircraft Calc'!S190*(SUMIF($B$5:$B$179,$A190,J$5:J$179)))</f>
        <v>0</v>
      </c>
      <c r="K190" s="480">
        <f>IF(ALECA_Input!$J$13='Rest Calc'!$H$13,SUMIF($B$5:$B$179,$A190,K$5:K$179),'Aircraft Calc'!T190*(SUMIF($B$5:$B$179,$A190,K$5:K$179)))</f>
        <v>0</v>
      </c>
      <c r="L190" s="480">
        <f>IF(ALECA_Input!$J$13='Rest Calc'!$H$13,SUMIF($B$5:$B$179,$A190,L$5:L$179),'Aircraft Calc'!U190*(SUMIF($B$5:$B$179,$A190,L$5:L$179)))</f>
        <v>0</v>
      </c>
      <c r="M190" s="161">
        <f>IF(ALECA_Input!$J$13='Rest Calc'!$H$13,SUMIF($B$5:$B$179,$A190,M$5:M$179),'Aircraft Calc'!V190*(SUMIF($B$5:$B$179,$A190,M$5:M$179)))</f>
        <v>0</v>
      </c>
      <c r="N190" s="480">
        <f>IF(ALECA_Input!$J$13='Rest Calc'!$H$13,SUMIF($B$5:$B$179,$A190,N$5:N$179),'Aircraft Calc'!W190*(SUMIF($B$5:$B$179,$A190,N$5:N$179)))</f>
        <v>0</v>
      </c>
      <c r="O190" s="480">
        <f>IF(ALECA_Input!$J$13='Rest Calc'!$H$13,SUMIF($B$5:$B$179,$A190,O$5:O$179),'Aircraft Calc'!X190*(SUMIF($B$5:$B$179,$A190,O$5:O$179)))</f>
        <v>0</v>
      </c>
      <c r="P190" s="480">
        <f t="shared" si="258"/>
        <v>0</v>
      </c>
      <c r="Q190" s="489">
        <v>0.81235724589769787</v>
      </c>
      <c r="R190" s="489">
        <v>0.6878690544286532</v>
      </c>
      <c r="S190" s="489">
        <v>1.0021005515558687</v>
      </c>
      <c r="T190" s="489">
        <v>0.9268853301021428</v>
      </c>
      <c r="U190" s="489">
        <v>0.81181503419463763</v>
      </c>
      <c r="V190" s="489">
        <v>0.91143463504463373</v>
      </c>
      <c r="W190" s="489">
        <v>0.81228098376466806</v>
      </c>
      <c r="X190" s="489">
        <v>0.81228098376466806</v>
      </c>
      <c r="AC190" s="224"/>
      <c r="AH190" s="86"/>
      <c r="AI190" s="393"/>
      <c r="AJ190" s="86"/>
      <c r="AK190" s="86"/>
      <c r="AL190" s="163"/>
    </row>
    <row r="191" spans="1:38" s="98" customFormat="1" x14ac:dyDescent="0.25">
      <c r="A191" s="115" t="s">
        <v>386</v>
      </c>
      <c r="C191" s="336">
        <f>H191/2*(ALECA_Input!L123+ALECA_Input!L125)</f>
        <v>0</v>
      </c>
      <c r="D191" s="422"/>
      <c r="E191" s="490">
        <v>4</v>
      </c>
      <c r="F191" s="432">
        <f t="shared" si="259"/>
        <v>0</v>
      </c>
      <c r="G191" s="426"/>
      <c r="H191" s="269">
        <f t="shared" si="257"/>
        <v>0</v>
      </c>
      <c r="I191" s="480">
        <f t="shared" ref="I191:O193" si="260">SUMIF($B$5:$B$179,$A191,I$5:I$179)</f>
        <v>0</v>
      </c>
      <c r="J191" s="480">
        <f t="shared" si="260"/>
        <v>0</v>
      </c>
      <c r="K191" s="480">
        <f t="shared" si="260"/>
        <v>0</v>
      </c>
      <c r="L191" s="480">
        <f t="shared" si="260"/>
        <v>0</v>
      </c>
      <c r="M191" s="161">
        <f t="shared" si="260"/>
        <v>0</v>
      </c>
      <c r="N191" s="480">
        <f t="shared" si="260"/>
        <v>0</v>
      </c>
      <c r="O191" s="480">
        <f t="shared" si="260"/>
        <v>0</v>
      </c>
      <c r="P191" s="480">
        <f t="shared" si="258"/>
        <v>0</v>
      </c>
      <c r="Q191" s="415" t="s">
        <v>3691</v>
      </c>
      <c r="R191" s="327"/>
      <c r="S191" s="327"/>
      <c r="T191" s="327"/>
      <c r="U191" s="327"/>
      <c r="V191" s="327"/>
      <c r="W191" s="327"/>
      <c r="X191" s="327"/>
      <c r="AC191" s="224"/>
      <c r="AH191" s="86"/>
      <c r="AI191" s="393"/>
      <c r="AJ191" s="86"/>
      <c r="AK191" s="86"/>
      <c r="AL191" s="163"/>
    </row>
    <row r="192" spans="1:38" s="98" customFormat="1" x14ac:dyDescent="0.25">
      <c r="A192" s="115" t="s">
        <v>385</v>
      </c>
      <c r="C192" s="336">
        <f>H192/2*(ALECA_Input!L123+ALECA_Input!L125)</f>
        <v>0</v>
      </c>
      <c r="D192" s="422"/>
      <c r="E192" s="490">
        <v>2</v>
      </c>
      <c r="F192" s="432">
        <f t="shared" si="259"/>
        <v>0</v>
      </c>
      <c r="G192" s="426"/>
      <c r="H192" s="269">
        <f t="shared" si="257"/>
        <v>0</v>
      </c>
      <c r="I192" s="480">
        <f t="shared" si="260"/>
        <v>0</v>
      </c>
      <c r="J192" s="480">
        <f t="shared" si="260"/>
        <v>0</v>
      </c>
      <c r="K192" s="480">
        <f t="shared" si="260"/>
        <v>0</v>
      </c>
      <c r="L192" s="480">
        <f t="shared" si="260"/>
        <v>0</v>
      </c>
      <c r="M192" s="161">
        <f t="shared" si="260"/>
        <v>0</v>
      </c>
      <c r="N192" s="480">
        <f t="shared" si="260"/>
        <v>0</v>
      </c>
      <c r="O192" s="480">
        <f t="shared" si="260"/>
        <v>0</v>
      </c>
      <c r="P192" s="480">
        <f t="shared" si="258"/>
        <v>0</v>
      </c>
      <c r="Q192" s="327"/>
      <c r="R192" s="327"/>
      <c r="S192" s="327"/>
      <c r="T192" s="327"/>
      <c r="U192" s="327"/>
      <c r="V192" s="327"/>
      <c r="W192" s="327"/>
      <c r="X192" s="327"/>
      <c r="AC192" s="224"/>
      <c r="AH192" s="86"/>
      <c r="AI192" s="393"/>
      <c r="AJ192" s="86"/>
      <c r="AK192" s="86"/>
      <c r="AL192" s="163"/>
    </row>
    <row r="193" spans="1:38" s="98" customFormat="1" x14ac:dyDescent="0.25">
      <c r="A193" s="115" t="s">
        <v>384</v>
      </c>
      <c r="C193" s="336">
        <v>0</v>
      </c>
      <c r="D193" s="423"/>
      <c r="E193" s="491">
        <v>2</v>
      </c>
      <c r="F193" s="433">
        <f t="shared" si="259"/>
        <v>0</v>
      </c>
      <c r="G193" s="426"/>
      <c r="H193" s="269">
        <f t="shared" si="257"/>
        <v>0</v>
      </c>
      <c r="I193" s="480">
        <f t="shared" si="260"/>
        <v>0</v>
      </c>
      <c r="J193" s="480">
        <f t="shared" si="260"/>
        <v>0</v>
      </c>
      <c r="K193" s="480">
        <f t="shared" si="260"/>
        <v>0</v>
      </c>
      <c r="L193" s="480">
        <f t="shared" si="260"/>
        <v>0</v>
      </c>
      <c r="M193" s="161">
        <f t="shared" si="260"/>
        <v>0</v>
      </c>
      <c r="N193" s="480">
        <f t="shared" si="260"/>
        <v>0</v>
      </c>
      <c r="O193" s="480">
        <f t="shared" si="260"/>
        <v>0</v>
      </c>
      <c r="P193" s="480">
        <f t="shared" si="258"/>
        <v>0</v>
      </c>
      <c r="Q193" s="327"/>
      <c r="R193" s="327"/>
      <c r="S193" s="327"/>
      <c r="T193" s="327"/>
      <c r="U193" s="327"/>
      <c r="V193" s="327"/>
      <c r="W193" s="327"/>
      <c r="X193" s="327"/>
      <c r="AC193" s="224"/>
      <c r="AH193" s="86"/>
      <c r="AI193" s="393"/>
      <c r="AJ193" s="86"/>
      <c r="AK193" s="86"/>
      <c r="AL193" s="163"/>
    </row>
    <row r="194" spans="1:38" s="97" customFormat="1" x14ac:dyDescent="0.25">
      <c r="A194" s="114" t="s">
        <v>167</v>
      </c>
      <c r="C194" s="338">
        <f>SUM(C186:C193)</f>
        <v>0</v>
      </c>
      <c r="D194" s="424"/>
      <c r="E194" s="434" t="e">
        <f>F194/ALECA_Results!C31</f>
        <v>#DIV/0!</v>
      </c>
      <c r="F194" s="435">
        <f>SUM(F186:F193)</f>
        <v>0</v>
      </c>
      <c r="G194" s="427"/>
      <c r="H194" s="270">
        <f>SUM(H186:H193)</f>
        <v>0</v>
      </c>
      <c r="I194" s="481">
        <f>SUM(I186:I193)</f>
        <v>0</v>
      </c>
      <c r="J194" s="481">
        <f t="shared" ref="J194:O194" si="261">SUM(J186:J193)</f>
        <v>0</v>
      </c>
      <c r="K194" s="481">
        <f t="shared" si="261"/>
        <v>0</v>
      </c>
      <c r="L194" s="481">
        <f t="shared" si="261"/>
        <v>0</v>
      </c>
      <c r="M194" s="363">
        <f t="shared" si="261"/>
        <v>0</v>
      </c>
      <c r="N194" s="481">
        <f t="shared" si="261"/>
        <v>0</v>
      </c>
      <c r="O194" s="481">
        <f t="shared" si="261"/>
        <v>0</v>
      </c>
      <c r="P194" s="481">
        <f>SUM(P186:P193)</f>
        <v>0</v>
      </c>
      <c r="Q194" s="327"/>
      <c r="AC194" s="223"/>
      <c r="AH194" s="99"/>
      <c r="AI194" s="172"/>
      <c r="AJ194" s="99"/>
      <c r="AK194" s="99"/>
      <c r="AL194" s="165"/>
    </row>
    <row r="195" spans="1:38" s="97" customFormat="1" x14ac:dyDescent="0.25">
      <c r="A195" s="74" t="s">
        <v>3433</v>
      </c>
      <c r="B195" s="75" t="s">
        <v>3434</v>
      </c>
      <c r="C195" s="341">
        <f>IF(ALECA_Input!F163="Yes",0,'Rest Calc'!D108)</f>
        <v>0</v>
      </c>
      <c r="D195" s="342"/>
      <c r="E195" s="428"/>
      <c r="F195" s="429"/>
      <c r="G195" s="326"/>
      <c r="H195" s="343"/>
      <c r="I195" s="344"/>
      <c r="J195" s="344"/>
      <c r="K195" s="344"/>
      <c r="L195" s="344"/>
      <c r="M195" s="345"/>
      <c r="N195" s="344"/>
      <c r="O195" s="344"/>
      <c r="P195" s="346"/>
      <c r="Q195" s="327"/>
      <c r="AC195" s="223"/>
      <c r="AH195" s="99"/>
      <c r="AI195" s="172"/>
      <c r="AJ195" s="99"/>
      <c r="AK195" s="99"/>
      <c r="AL195" s="165"/>
    </row>
    <row r="196" spans="1:38" x14ac:dyDescent="0.25">
      <c r="A196" s="74" t="s">
        <v>3435</v>
      </c>
      <c r="B196" s="75" t="s">
        <v>3432</v>
      </c>
      <c r="C196" s="339" t="e">
        <f>(C194+C195)/(SUM(H186:H192)/2)</f>
        <v>#DIV/0!</v>
      </c>
      <c r="D196" s="288"/>
      <c r="H196" s="288"/>
      <c r="I196" s="142"/>
      <c r="J196" s="142"/>
      <c r="K196" s="142"/>
      <c r="L196" s="142"/>
      <c r="M196" s="142"/>
      <c r="N196" s="142"/>
      <c r="O196" s="142"/>
      <c r="P196" s="142"/>
    </row>
    <row r="197" spans="1:38" x14ac:dyDescent="0.25">
      <c r="A197" s="340"/>
      <c r="B197" s="340"/>
      <c r="D197" s="288"/>
      <c r="H197" s="288"/>
      <c r="I197" s="142"/>
      <c r="J197" s="142"/>
      <c r="K197" s="142"/>
      <c r="L197" s="142"/>
      <c r="M197" s="142"/>
      <c r="N197" s="142"/>
      <c r="O197" s="142"/>
      <c r="P197" s="142"/>
    </row>
    <row r="198" spans="1:38" x14ac:dyDescent="0.25">
      <c r="A198" s="73" t="s">
        <v>3568</v>
      </c>
      <c r="B198" s="73"/>
      <c r="E198" s="366" t="s">
        <v>414</v>
      </c>
      <c r="I198" s="366" t="str">
        <f>I185</f>
        <v>NOx (kg)</v>
      </c>
      <c r="J198" s="366" t="str">
        <f t="shared" ref="J198:P198" si="262">J185</f>
        <v>HC (kg)</v>
      </c>
      <c r="K198" s="366" t="str">
        <f t="shared" si="262"/>
        <v>CO (kg)</v>
      </c>
      <c r="L198" s="366" t="str">
        <f t="shared" si="262"/>
        <v>PM (kg)</v>
      </c>
      <c r="M198" s="366" t="str">
        <f t="shared" si="262"/>
        <v>nvPN (#)</v>
      </c>
      <c r="N198" s="366" t="str">
        <f t="shared" si="262"/>
        <v>SOx (kg)</v>
      </c>
      <c r="O198" s="366" t="str">
        <f t="shared" si="262"/>
        <v>CO2 (kg)</v>
      </c>
      <c r="P198" s="366" t="str">
        <f t="shared" si="262"/>
        <v>HC 
(kg)</v>
      </c>
      <c r="Q198" s="476" t="s">
        <v>3549</v>
      </c>
      <c r="V198" s="169"/>
      <c r="Y198" s="133"/>
      <c r="Z198" s="133"/>
      <c r="AA198" s="133"/>
      <c r="AB198" s="133"/>
      <c r="AC198" s="133"/>
      <c r="AD198" s="169"/>
      <c r="AH198" s="74"/>
      <c r="AJ198" s="74"/>
      <c r="AK198" s="74"/>
      <c r="AL198" s="74"/>
    </row>
    <row r="199" spans="1:38" x14ac:dyDescent="0.25">
      <c r="A199" s="74" t="s">
        <v>2945</v>
      </c>
      <c r="B199" s="74" t="s">
        <v>2938</v>
      </c>
      <c r="G199" s="245"/>
      <c r="I199" s="271">
        <f>I194-I203</f>
        <v>0</v>
      </c>
      <c r="J199" s="271">
        <f t="shared" ref="J199:P199" si="263">J194-J203</f>
        <v>0</v>
      </c>
      <c r="K199" s="271">
        <f t="shared" si="263"/>
        <v>0</v>
      </c>
      <c r="L199" s="271">
        <f t="shared" si="263"/>
        <v>0</v>
      </c>
      <c r="M199" s="382">
        <f t="shared" si="263"/>
        <v>0</v>
      </c>
      <c r="N199" s="271">
        <f t="shared" si="263"/>
        <v>0</v>
      </c>
      <c r="O199" s="271">
        <f t="shared" si="263"/>
        <v>0</v>
      </c>
      <c r="P199" s="271">
        <f t="shared" si="263"/>
        <v>0</v>
      </c>
      <c r="Q199" s="478">
        <f>O199/'Rest Calc'!B16/1000</f>
        <v>0</v>
      </c>
      <c r="V199" s="169"/>
      <c r="Y199" s="133"/>
      <c r="Z199" s="133"/>
      <c r="AA199" s="133"/>
      <c r="AB199" s="133"/>
      <c r="AC199" s="133"/>
      <c r="AD199" s="169"/>
      <c r="AH199" s="74"/>
      <c r="AJ199" s="74"/>
      <c r="AK199" s="74"/>
      <c r="AL199" s="74"/>
    </row>
    <row r="200" spans="1:38" x14ac:dyDescent="0.25">
      <c r="A200" s="74" t="s">
        <v>2939</v>
      </c>
      <c r="B200" s="74" t="s">
        <v>2940</v>
      </c>
      <c r="E200" s="372">
        <f>ALECA_Input!C107</f>
        <v>0</v>
      </c>
      <c r="F200" s="173"/>
      <c r="H200" s="174"/>
      <c r="I200" s="176">
        <f t="shared" ref="I200:P200" si="264">$E200</f>
        <v>0</v>
      </c>
      <c r="J200" s="176">
        <f t="shared" si="264"/>
        <v>0</v>
      </c>
      <c r="K200" s="176">
        <f t="shared" si="264"/>
        <v>0</v>
      </c>
      <c r="L200" s="176">
        <f t="shared" si="264"/>
        <v>0</v>
      </c>
      <c r="M200" s="176">
        <f t="shared" si="264"/>
        <v>0</v>
      </c>
      <c r="N200" s="176">
        <f t="shared" si="264"/>
        <v>0</v>
      </c>
      <c r="O200" s="176">
        <f t="shared" si="264"/>
        <v>0</v>
      </c>
      <c r="P200" s="176">
        <f t="shared" si="264"/>
        <v>0</v>
      </c>
      <c r="Q200" s="74"/>
      <c r="V200" s="169"/>
      <c r="Y200" s="133"/>
      <c r="Z200" s="133"/>
      <c r="AA200" s="133"/>
      <c r="AB200" s="133"/>
      <c r="AC200" s="133"/>
      <c r="AD200" s="169"/>
      <c r="AH200" s="74"/>
      <c r="AJ200" s="74"/>
      <c r="AK200" s="74"/>
      <c r="AL200" s="74"/>
    </row>
    <row r="201" spans="1:38" x14ac:dyDescent="0.25">
      <c r="A201" s="74" t="s">
        <v>2943</v>
      </c>
      <c r="B201" s="74" t="s">
        <v>2940</v>
      </c>
      <c r="G201" s="246"/>
      <c r="I201" s="175">
        <f>ALECA_Input!C109</f>
        <v>0</v>
      </c>
      <c r="J201" s="175">
        <f>ALECA_Input!C110</f>
        <v>0</v>
      </c>
      <c r="K201" s="175">
        <f>ALECA_Input!C111</f>
        <v>0</v>
      </c>
      <c r="L201" s="175">
        <f>ALECA_Input!C112</f>
        <v>0</v>
      </c>
      <c r="M201" s="175">
        <f>ALECA_Input!C113</f>
        <v>0</v>
      </c>
      <c r="N201" s="175">
        <f>ALECA_Input!C114</f>
        <v>0</v>
      </c>
      <c r="O201" s="175">
        <f>ALECA_Input!C115</f>
        <v>0</v>
      </c>
      <c r="P201" s="175">
        <f>ALECA_Input!C110</f>
        <v>0</v>
      </c>
      <c r="Q201" s="74"/>
      <c r="V201" s="169"/>
      <c r="Y201" s="133"/>
      <c r="Z201" s="133"/>
      <c r="AA201" s="133"/>
      <c r="AB201" s="133"/>
      <c r="AC201" s="133"/>
      <c r="AD201" s="169"/>
      <c r="AH201" s="74"/>
      <c r="AJ201" s="74"/>
      <c r="AK201" s="74"/>
      <c r="AL201" s="74"/>
    </row>
    <row r="202" spans="1:38" x14ac:dyDescent="0.25">
      <c r="A202" s="74" t="s">
        <v>2941</v>
      </c>
      <c r="B202" s="74" t="s">
        <v>2938</v>
      </c>
      <c r="I202" s="271">
        <f>I199+(I199*I200*(I201-1))</f>
        <v>0</v>
      </c>
      <c r="J202" s="271">
        <f t="shared" ref="J202:O202" si="265">J199+(J199*J200*(J201-1))</f>
        <v>0</v>
      </c>
      <c r="K202" s="271">
        <f t="shared" si="265"/>
        <v>0</v>
      </c>
      <c r="L202" s="271">
        <f t="shared" si="265"/>
        <v>0</v>
      </c>
      <c r="M202" s="382">
        <f t="shared" si="265"/>
        <v>0</v>
      </c>
      <c r="N202" s="271">
        <f t="shared" si="265"/>
        <v>0</v>
      </c>
      <c r="O202" s="271">
        <f t="shared" si="265"/>
        <v>0</v>
      </c>
      <c r="P202" s="271">
        <f t="shared" ref="P202" si="266">P199+(P199*P200*(P201-1))</f>
        <v>0</v>
      </c>
      <c r="Q202" s="74"/>
      <c r="V202" s="169"/>
      <c r="Y202" s="133"/>
      <c r="Z202" s="133"/>
      <c r="AA202" s="133"/>
      <c r="AB202" s="133"/>
      <c r="AC202" s="133"/>
      <c r="AD202" s="169"/>
      <c r="AH202" s="74"/>
      <c r="AJ202" s="74"/>
      <c r="AK202" s="74"/>
      <c r="AL202" s="74"/>
    </row>
    <row r="203" spans="1:38" x14ac:dyDescent="0.25">
      <c r="A203" s="74" t="s">
        <v>2944</v>
      </c>
      <c r="B203" s="74" t="s">
        <v>591</v>
      </c>
      <c r="I203" s="271">
        <f t="shared" ref="I203:P203" si="267">SUMIF($E2:$E179,"A",I2:I179)</f>
        <v>0</v>
      </c>
      <c r="J203" s="271">
        <f t="shared" si="267"/>
        <v>0</v>
      </c>
      <c r="K203" s="271">
        <f t="shared" si="267"/>
        <v>0</v>
      </c>
      <c r="L203" s="271">
        <f t="shared" si="267"/>
        <v>0</v>
      </c>
      <c r="M203" s="382">
        <f t="shared" si="267"/>
        <v>0</v>
      </c>
      <c r="N203" s="271">
        <f t="shared" si="267"/>
        <v>0</v>
      </c>
      <c r="O203" s="271">
        <f t="shared" si="267"/>
        <v>0</v>
      </c>
      <c r="P203" s="271">
        <f t="shared" si="267"/>
        <v>0</v>
      </c>
      <c r="Q203" s="477">
        <f>O203/'Rest Calc'!B17/1000</f>
        <v>0</v>
      </c>
      <c r="V203" s="169"/>
      <c r="Y203" s="133"/>
      <c r="Z203" s="133"/>
      <c r="AA203" s="133"/>
      <c r="AB203" s="133"/>
      <c r="AC203" s="133"/>
      <c r="AD203" s="169"/>
      <c r="AH203" s="74"/>
      <c r="AJ203" s="74"/>
      <c r="AK203" s="74"/>
      <c r="AL203" s="74"/>
    </row>
    <row r="204" spans="1:38" s="97" customFormat="1" x14ac:dyDescent="0.25">
      <c r="A204" s="97" t="s">
        <v>2942</v>
      </c>
      <c r="B204" s="97" t="s">
        <v>432</v>
      </c>
      <c r="E204" s="172"/>
      <c r="F204" s="137"/>
      <c r="G204" s="244"/>
      <c r="I204" s="482">
        <f>I202+I203</f>
        <v>0</v>
      </c>
      <c r="J204" s="482">
        <f t="shared" ref="J204:L204" si="268">J202+J203</f>
        <v>0</v>
      </c>
      <c r="K204" s="482">
        <f t="shared" si="268"/>
        <v>0</v>
      </c>
      <c r="L204" s="482">
        <f t="shared" si="268"/>
        <v>0</v>
      </c>
      <c r="M204" s="420">
        <f>M203+M202</f>
        <v>0</v>
      </c>
      <c r="N204" s="482">
        <f>SUM(N202:N203)</f>
        <v>0</v>
      </c>
      <c r="O204" s="482">
        <f t="shared" ref="O204:P204" si="269">SUM(O202:O203)</f>
        <v>0</v>
      </c>
      <c r="P204" s="482">
        <f t="shared" si="269"/>
        <v>0</v>
      </c>
      <c r="Q204" s="479">
        <f>SUM(Q199:Q203)</f>
        <v>0</v>
      </c>
      <c r="V204" s="223"/>
      <c r="AD204" s="223"/>
      <c r="AG204" s="134"/>
      <c r="AH204" s="165"/>
      <c r="AI204" s="172"/>
    </row>
    <row r="205" spans="1:38" s="290" customFormat="1" x14ac:dyDescent="0.25">
      <c r="A205" s="290" t="s">
        <v>3529</v>
      </c>
      <c r="B205" s="290" t="s">
        <v>504</v>
      </c>
      <c r="E205" s="456"/>
      <c r="F205" s="291"/>
      <c r="G205" s="457"/>
      <c r="H205" s="458"/>
      <c r="I205" s="466">
        <f>(I194-I204)/1000</f>
        <v>0</v>
      </c>
      <c r="J205" s="466">
        <f t="shared" ref="J205:P205" si="270">(J194-J204)/1000</f>
        <v>0</v>
      </c>
      <c r="K205" s="466">
        <f t="shared" si="270"/>
        <v>0</v>
      </c>
      <c r="L205" s="466">
        <f t="shared" si="270"/>
        <v>0</v>
      </c>
      <c r="M205" s="467">
        <f>(M194-M204)</f>
        <v>0</v>
      </c>
      <c r="N205" s="466">
        <f t="shared" si="270"/>
        <v>0</v>
      </c>
      <c r="O205" s="466">
        <f t="shared" si="270"/>
        <v>0</v>
      </c>
      <c r="P205" s="466">
        <f t="shared" si="270"/>
        <v>0</v>
      </c>
      <c r="V205" s="459"/>
      <c r="AD205" s="459"/>
      <c r="AG205" s="460"/>
      <c r="AH205" s="461"/>
      <c r="AI205" s="456"/>
    </row>
    <row r="206" spans="1:38" x14ac:dyDescent="0.25">
      <c r="H206" s="328"/>
      <c r="I206" s="329"/>
      <c r="J206" s="329"/>
      <c r="K206" s="329"/>
      <c r="L206" s="329"/>
      <c r="M206" s="329"/>
      <c r="N206" s="329"/>
      <c r="O206" s="329"/>
      <c r="P206" s="329"/>
      <c r="AE206" s="133"/>
      <c r="AF206" s="133"/>
      <c r="AG206" s="133"/>
    </row>
    <row r="207" spans="1:38" x14ac:dyDescent="0.25">
      <c r="A207" s="73" t="s">
        <v>3449</v>
      </c>
      <c r="B207" s="73"/>
      <c r="C207" s="283" t="s">
        <v>3439</v>
      </c>
      <c r="I207" s="86"/>
    </row>
    <row r="208" spans="1:38" x14ac:dyDescent="0.25">
      <c r="A208" s="547"/>
      <c r="B208" s="129" t="s">
        <v>3581</v>
      </c>
      <c r="C208" s="627" t="s">
        <v>3594</v>
      </c>
      <c r="D208" s="628"/>
      <c r="E208" s="628"/>
      <c r="F208" s="548" t="s">
        <v>3593</v>
      </c>
      <c r="G208" s="627" t="s">
        <v>3394</v>
      </c>
      <c r="H208" s="628"/>
      <c r="I208" s="629"/>
      <c r="J208" s="548" t="s">
        <v>3583</v>
      </c>
    </row>
    <row r="209" spans="1:38" x14ac:dyDescent="0.25">
      <c r="A209" s="129"/>
      <c r="B209" s="129"/>
      <c r="C209" s="132" t="s">
        <v>3582</v>
      </c>
      <c r="D209" s="132" t="s">
        <v>3244</v>
      </c>
      <c r="E209" s="132" t="s">
        <v>3246</v>
      </c>
      <c r="F209" s="132" t="s">
        <v>3245</v>
      </c>
      <c r="G209" s="132" t="s">
        <v>3582</v>
      </c>
      <c r="H209" s="132" t="s">
        <v>3244</v>
      </c>
      <c r="I209" s="132" t="s">
        <v>3246</v>
      </c>
      <c r="J209" s="132" t="s">
        <v>3245</v>
      </c>
    </row>
    <row r="210" spans="1:38" x14ac:dyDescent="0.25">
      <c r="A210" s="290" t="s">
        <v>3393</v>
      </c>
      <c r="C210" s="192"/>
      <c r="D210" s="192"/>
      <c r="E210" s="192"/>
      <c r="F210" s="549">
        <v>6</v>
      </c>
      <c r="G210" s="199">
        <v>1</v>
      </c>
      <c r="H210" s="199">
        <v>0.33</v>
      </c>
      <c r="I210" s="199">
        <v>0.33</v>
      </c>
      <c r="J210" s="549">
        <v>10</v>
      </c>
    </row>
    <row r="211" spans="1:38" x14ac:dyDescent="0.25">
      <c r="A211" s="74" t="s">
        <v>383</v>
      </c>
      <c r="B211" s="74" t="s">
        <v>3595</v>
      </c>
      <c r="C211" s="192">
        <v>0.7</v>
      </c>
      <c r="D211" s="192">
        <v>2.2000000000000002</v>
      </c>
      <c r="E211" s="192">
        <v>4</v>
      </c>
      <c r="F211" s="555">
        <v>26</v>
      </c>
      <c r="G211" s="192">
        <f>C211*G$210</f>
        <v>0.7</v>
      </c>
      <c r="H211" s="192">
        <f>D211*H$210</f>
        <v>0.72600000000000009</v>
      </c>
      <c r="I211" s="192">
        <f>E211*I$210</f>
        <v>1.32</v>
      </c>
      <c r="J211" s="86">
        <f>ALECA_Input!D123+ALECA_Input!D125</f>
        <v>0</v>
      </c>
    </row>
    <row r="212" spans="1:38" x14ac:dyDescent="0.25">
      <c r="A212" s="74" t="s">
        <v>393</v>
      </c>
      <c r="B212" s="205"/>
      <c r="C212" s="205"/>
      <c r="D212" s="205"/>
      <c r="E212" s="205"/>
      <c r="F212" s="555">
        <v>26</v>
      </c>
      <c r="G212" s="205"/>
      <c r="H212" s="205"/>
      <c r="I212" s="205"/>
      <c r="J212" s="86">
        <f>ALECA_Input!F123+ALECA_Input!F125</f>
        <v>0</v>
      </c>
    </row>
    <row r="213" spans="1:38" x14ac:dyDescent="0.25">
      <c r="A213" s="74" t="s">
        <v>394</v>
      </c>
      <c r="B213" s="205"/>
      <c r="C213" s="205"/>
      <c r="D213" s="205"/>
      <c r="E213" s="205"/>
      <c r="F213" s="555">
        <v>26</v>
      </c>
      <c r="G213" s="205"/>
      <c r="H213" s="205"/>
      <c r="I213" s="205"/>
      <c r="J213" s="86">
        <f>ALECA_Input!H123+ALECA_Input!H125</f>
        <v>0</v>
      </c>
    </row>
    <row r="214" spans="1:38" x14ac:dyDescent="0.25">
      <c r="A214" s="74" t="s">
        <v>395</v>
      </c>
      <c r="B214" s="205"/>
      <c r="C214" s="205"/>
      <c r="D214" s="205"/>
      <c r="E214" s="205"/>
      <c r="F214" s="555">
        <v>26</v>
      </c>
      <c r="G214" s="205"/>
      <c r="H214" s="205"/>
      <c r="I214" s="205"/>
      <c r="J214" s="86">
        <f>ALECA_Input!J123+ALECA_Input!J125</f>
        <v>0</v>
      </c>
    </row>
    <row r="215" spans="1:38" x14ac:dyDescent="0.25">
      <c r="A215" s="74" t="s">
        <v>396</v>
      </c>
      <c r="B215" s="74" t="s">
        <v>3300</v>
      </c>
      <c r="C215" s="192">
        <v>0.4</v>
      </c>
      <c r="D215" s="192">
        <v>0.5</v>
      </c>
      <c r="E215" s="192">
        <v>1.6</v>
      </c>
      <c r="F215" s="554">
        <v>26</v>
      </c>
      <c r="G215" s="192">
        <f t="shared" ref="G215:I217" si="271">C215*G$210</f>
        <v>0.4</v>
      </c>
      <c r="H215" s="192">
        <f t="shared" si="271"/>
        <v>0.16500000000000001</v>
      </c>
      <c r="I215" s="192">
        <f t="shared" si="271"/>
        <v>0.52800000000000002</v>
      </c>
      <c r="J215" s="86">
        <f>ALECA_Input!J123+ALECA_Input!J125</f>
        <v>0</v>
      </c>
    </row>
    <row r="216" spans="1:38" x14ac:dyDescent="0.25">
      <c r="A216" s="74" t="s">
        <v>386</v>
      </c>
      <c r="B216" s="74" t="s">
        <v>386</v>
      </c>
      <c r="C216" s="192">
        <v>0.5</v>
      </c>
      <c r="D216" s="192">
        <v>2.5</v>
      </c>
      <c r="E216" s="192">
        <v>4.5</v>
      </c>
      <c r="F216" s="554">
        <v>20</v>
      </c>
      <c r="G216" s="192">
        <f t="shared" si="271"/>
        <v>0.5</v>
      </c>
      <c r="H216" s="192">
        <f t="shared" si="271"/>
        <v>0.82500000000000007</v>
      </c>
      <c r="I216" s="192">
        <f t="shared" si="271"/>
        <v>1.4850000000000001</v>
      </c>
      <c r="J216" s="86">
        <f>ALECA_Input!L123+ALECA_Input!L125</f>
        <v>0</v>
      </c>
    </row>
    <row r="217" spans="1:38" x14ac:dyDescent="0.25">
      <c r="A217" s="74" t="s">
        <v>385</v>
      </c>
      <c r="B217" s="74" t="s">
        <v>385</v>
      </c>
      <c r="C217" s="192">
        <v>0.3</v>
      </c>
      <c r="D217" s="192">
        <v>5</v>
      </c>
      <c r="E217" s="192">
        <v>6</v>
      </c>
      <c r="F217" s="554">
        <v>20</v>
      </c>
      <c r="G217" s="192">
        <f t="shared" si="271"/>
        <v>0.3</v>
      </c>
      <c r="H217" s="192">
        <f t="shared" si="271"/>
        <v>1.6500000000000001</v>
      </c>
      <c r="I217" s="192">
        <f t="shared" si="271"/>
        <v>1.98</v>
      </c>
      <c r="J217" s="86">
        <f>ALECA_Input!L123+ALECA_Input!L125</f>
        <v>0</v>
      </c>
    </row>
    <row r="218" spans="1:38" x14ac:dyDescent="0.25">
      <c r="A218" s="74" t="s">
        <v>384</v>
      </c>
      <c r="B218" s="74" t="s">
        <v>384</v>
      </c>
      <c r="C218" s="192">
        <v>0</v>
      </c>
      <c r="D218" s="192">
        <v>3</v>
      </c>
      <c r="E218" s="192">
        <v>5.5</v>
      </c>
      <c r="F218" s="555">
        <v>5</v>
      </c>
      <c r="G218" s="192">
        <f>C218*G$210</f>
        <v>0</v>
      </c>
      <c r="H218" s="192">
        <f>D218</f>
        <v>3</v>
      </c>
      <c r="I218" s="192">
        <f>E218</f>
        <v>5.5</v>
      </c>
      <c r="J218" s="477">
        <f>F218</f>
        <v>5</v>
      </c>
    </row>
    <row r="219" spans="1:38" s="194" customFormat="1" ht="14.25" customHeight="1" x14ac:dyDescent="0.25">
      <c r="B219" s="195"/>
      <c r="C219" s="196"/>
      <c r="D219" s="196"/>
      <c r="E219" s="196"/>
      <c r="F219" s="196"/>
      <c r="G219" s="198"/>
      <c r="H219" s="197"/>
      <c r="I219" s="378"/>
      <c r="Q219" s="195"/>
      <c r="AC219" s="225"/>
      <c r="AH219" s="197"/>
      <c r="AI219" s="394"/>
      <c r="AJ219" s="197"/>
      <c r="AK219" s="197"/>
      <c r="AL219" s="198"/>
    </row>
    <row r="220" spans="1:38" ht="15.6" x14ac:dyDescent="0.3">
      <c r="A220" s="73" t="s">
        <v>3388</v>
      </c>
      <c r="B220" s="73"/>
      <c r="C220" s="283" t="s">
        <v>3382</v>
      </c>
      <c r="I220" s="73" t="s">
        <v>3383</v>
      </c>
      <c r="J220" s="73"/>
      <c r="K220" s="73"/>
      <c r="L220" s="87"/>
      <c r="M220" s="87"/>
      <c r="N220" s="87"/>
      <c r="O220" s="87"/>
    </row>
    <row r="221" spans="1:38" s="273" customFormat="1" x14ac:dyDescent="0.25">
      <c r="A221" s="279" t="s">
        <v>3377</v>
      </c>
      <c r="B221" s="157" t="s">
        <v>410</v>
      </c>
      <c r="C221" s="274" t="s">
        <v>3379</v>
      </c>
      <c r="D221" s="274" t="s">
        <v>3380</v>
      </c>
      <c r="E221" s="274" t="s">
        <v>3381</v>
      </c>
      <c r="F221" s="275"/>
      <c r="G221" s="276"/>
      <c r="H221" s="275"/>
      <c r="I221" s="171" t="s">
        <v>648</v>
      </c>
      <c r="J221" s="171" t="s">
        <v>397</v>
      </c>
      <c r="K221" s="171" t="s">
        <v>398</v>
      </c>
      <c r="L221" s="171" t="s">
        <v>399</v>
      </c>
      <c r="M221" s="171" t="s">
        <v>641</v>
      </c>
      <c r="N221" s="171" t="s">
        <v>649</v>
      </c>
      <c r="O221" s="171" t="s">
        <v>400</v>
      </c>
      <c r="P221" s="280" t="s">
        <v>518</v>
      </c>
      <c r="Q221" s="281" t="s">
        <v>519</v>
      </c>
      <c r="R221" s="281" t="s">
        <v>520</v>
      </c>
      <c r="S221" s="281" t="s">
        <v>521</v>
      </c>
      <c r="T221" s="281" t="s">
        <v>522</v>
      </c>
      <c r="U221" s="281" t="s">
        <v>523</v>
      </c>
      <c r="V221" s="281" t="s">
        <v>524</v>
      </c>
      <c r="W221" s="281" t="s">
        <v>525</v>
      </c>
      <c r="X221" s="281" t="s">
        <v>526</v>
      </c>
      <c r="Y221" s="281" t="s">
        <v>527</v>
      </c>
      <c r="Z221" s="281" t="s">
        <v>528</v>
      </c>
      <c r="AA221" s="281" t="s">
        <v>529</v>
      </c>
      <c r="AB221" s="281" t="s">
        <v>530</v>
      </c>
      <c r="AC221" s="281" t="s">
        <v>531</v>
      </c>
      <c r="AD221" s="281" t="s">
        <v>532</v>
      </c>
      <c r="AE221" s="281" t="s">
        <v>533</v>
      </c>
      <c r="AF221" s="281" t="s">
        <v>534</v>
      </c>
      <c r="AG221" s="281" t="s">
        <v>535</v>
      </c>
      <c r="AH221" s="277"/>
      <c r="AI221" s="395"/>
      <c r="AJ221" s="277"/>
      <c r="AK221" s="277"/>
      <c r="AL221" s="278"/>
    </row>
    <row r="222" spans="1:38" s="273" customFormat="1" x14ac:dyDescent="0.25">
      <c r="A222" s="279"/>
      <c r="B222" s="282" t="s">
        <v>3378</v>
      </c>
      <c r="C222" s="274" t="s">
        <v>3385</v>
      </c>
      <c r="D222" s="274" t="s">
        <v>3384</v>
      </c>
      <c r="E222" s="274" t="s">
        <v>3385</v>
      </c>
      <c r="F222" s="275"/>
      <c r="G222" s="276"/>
      <c r="H222" s="275"/>
      <c r="I222" s="171"/>
      <c r="J222" s="171"/>
      <c r="K222" s="171"/>
      <c r="L222" s="171"/>
      <c r="M222" s="171"/>
      <c r="N222" s="171"/>
      <c r="O222" s="171"/>
      <c r="P222" s="247" t="s">
        <v>517</v>
      </c>
      <c r="Q222" s="131" t="s">
        <v>517</v>
      </c>
      <c r="R222" s="131" t="s">
        <v>517</v>
      </c>
      <c r="S222" s="131" t="s">
        <v>517</v>
      </c>
      <c r="T222" s="131" t="s">
        <v>517</v>
      </c>
      <c r="U222" s="131" t="s">
        <v>517</v>
      </c>
      <c r="V222" s="131" t="s">
        <v>517</v>
      </c>
      <c r="W222" s="131" t="s">
        <v>517</v>
      </c>
      <c r="X222" s="131" t="s">
        <v>517</v>
      </c>
      <c r="Y222" s="131" t="s">
        <v>517</v>
      </c>
      <c r="Z222" s="131" t="s">
        <v>517</v>
      </c>
      <c r="AA222" s="131" t="s">
        <v>517</v>
      </c>
      <c r="AB222" s="131" t="s">
        <v>517</v>
      </c>
      <c r="AC222" s="131" t="s">
        <v>517</v>
      </c>
      <c r="AD222" s="131" t="s">
        <v>517</v>
      </c>
      <c r="AE222" s="131" t="s">
        <v>536</v>
      </c>
      <c r="AF222" s="131" t="s">
        <v>536</v>
      </c>
      <c r="AG222" s="131" t="s">
        <v>536</v>
      </c>
      <c r="AH222" s="277"/>
      <c r="AI222" s="395"/>
      <c r="AJ222" s="277"/>
      <c r="AK222" s="277"/>
      <c r="AL222" s="278"/>
    </row>
    <row r="223" spans="1:38" x14ac:dyDescent="0.25">
      <c r="A223" s="74" t="s">
        <v>3373</v>
      </c>
      <c r="B223" s="271">
        <f>SUMIFS(H$5:H$179,B$5:B$179,"Large",F$5:F$179,4)</f>
        <v>0</v>
      </c>
      <c r="C223" s="86">
        <f>140/3600</f>
        <v>3.888888888888889E-2</v>
      </c>
      <c r="D223" s="163">
        <f>B223/2*ALECA_Input!D129*(ALECA_Input!D131+ALECA_Input!D133+E223*60)/60</f>
        <v>0</v>
      </c>
      <c r="E223" s="86">
        <f>3/60</f>
        <v>0.05</v>
      </c>
      <c r="I223" s="271">
        <f>$B223/2*($C223*S223+$E223*U223)+$D223*T223</f>
        <v>0</v>
      </c>
      <c r="J223" s="271">
        <f>$B223/2*($C223*V223+$E223*X223)+$D223*W223</f>
        <v>0</v>
      </c>
      <c r="K223" s="271">
        <f>$B223/2*($C223*Y223+$E223*AA223)+$D223*Z223</f>
        <v>0</v>
      </c>
      <c r="L223" s="271">
        <f>$B223/2*($C223*AB223+$E223*AD223)+$D223*AC223</f>
        <v>0</v>
      </c>
      <c r="M223" s="130">
        <f>$B223/2*($C223*AE223+$E223*AG223)+$D223*AF223</f>
        <v>0</v>
      </c>
      <c r="N223" s="271">
        <f>($B223/2*($C223*P223+$E223*R223)+$D223*Q223)*0.0005</f>
        <v>0</v>
      </c>
      <c r="O223" s="271">
        <f>($B223/2*($C223*P223+$E223*R223)+$D223*Q223)*'Rest Calc'!B$16</f>
        <v>0</v>
      </c>
      <c r="P223" s="163">
        <v>262</v>
      </c>
      <c r="Q223" s="86">
        <v>238</v>
      </c>
      <c r="R223" s="86">
        <v>146</v>
      </c>
      <c r="S223" s="86">
        <v>3.347</v>
      </c>
      <c r="T223" s="86">
        <v>2.9550000000000001</v>
      </c>
      <c r="U223" s="86">
        <v>1.0620000000000001</v>
      </c>
      <c r="V223" s="86">
        <v>0.03</v>
      </c>
      <c r="W223" s="86">
        <v>3.1E-2</v>
      </c>
      <c r="X223" s="86">
        <v>9.2999999999999999E-2</v>
      </c>
      <c r="Y223" s="86">
        <v>0.17299999999999999</v>
      </c>
      <c r="Z223" s="86">
        <v>0.152</v>
      </c>
      <c r="AA223" s="86">
        <v>1.349</v>
      </c>
      <c r="AB223" s="86">
        <v>8.9999999999999993E-3</v>
      </c>
      <c r="AC223" s="86">
        <v>0.01</v>
      </c>
      <c r="AD223" s="86">
        <v>0.01</v>
      </c>
      <c r="AE223" s="130">
        <v>9.81E+16</v>
      </c>
      <c r="AF223" s="130">
        <v>7.24E+16</v>
      </c>
      <c r="AG223" s="130">
        <v>3.79E+16</v>
      </c>
    </row>
    <row r="224" spans="1:38" x14ac:dyDescent="0.25">
      <c r="A224" s="74" t="s">
        <v>3374</v>
      </c>
      <c r="B224" s="271">
        <f>SUMIFS(H$5:H$179,B$5:B$179,"Large",F$5:F$179,2)</f>
        <v>0</v>
      </c>
      <c r="C224" s="86">
        <f t="shared" ref="C224:C228" si="272">35/3600</f>
        <v>9.7222222222222224E-3</v>
      </c>
      <c r="D224" s="163">
        <f>B224/2*ALECA_Input!D129*(ALECA_Input!D131+ALECA_Input!D133+E224*60)/60</f>
        <v>0</v>
      </c>
      <c r="E224" s="86">
        <f t="shared" ref="E224:E228" si="273">3/60</f>
        <v>0.05</v>
      </c>
      <c r="I224" s="271">
        <f t="shared" ref="I224:I228" si="274">$B224/2*($C224*S224+$E224*U224)+$D224*T224</f>
        <v>0</v>
      </c>
      <c r="J224" s="271">
        <f t="shared" ref="J224:J228" si="275">$B224/2*($C224*V224+$E224*X224)+$D224*W224</f>
        <v>0</v>
      </c>
      <c r="K224" s="271">
        <f t="shared" ref="K224:K228" si="276">$B224/2*($C224*Y224+$E224*AA224)+$D224*Z224</f>
        <v>0</v>
      </c>
      <c r="L224" s="271">
        <f t="shared" ref="L224:L228" si="277">$B224/2*($C224*AB224+$E224*AD224)+$D224*AC224</f>
        <v>0</v>
      </c>
      <c r="M224" s="130">
        <f t="shared" ref="M224:M228" si="278">$B224/2*($C224*AE224+$E224*AG224)+$D224*AF224</f>
        <v>0</v>
      </c>
      <c r="N224" s="271">
        <f t="shared" ref="N224:N228" si="279">($B224/2*($C224*P224+$E224*R224)+$D224*Q224)*0.0005</f>
        <v>0</v>
      </c>
      <c r="O224" s="271">
        <f>($B224/2*($C224*P224+$E224*R224)+$D224*Q224)*'Rest Calc'!B$16</f>
        <v>0</v>
      </c>
      <c r="P224" s="163">
        <v>262</v>
      </c>
      <c r="Q224" s="86">
        <v>238</v>
      </c>
      <c r="R224" s="86">
        <v>146</v>
      </c>
      <c r="S224" s="86">
        <v>3.347</v>
      </c>
      <c r="T224" s="86">
        <v>2.9550000000000001</v>
      </c>
      <c r="U224" s="86">
        <v>1.0620000000000001</v>
      </c>
      <c r="V224" s="86">
        <v>0.03</v>
      </c>
      <c r="W224" s="86">
        <v>3.1E-2</v>
      </c>
      <c r="X224" s="86">
        <v>9.2999999999999999E-2</v>
      </c>
      <c r="Y224" s="86">
        <v>0.17299999999999999</v>
      </c>
      <c r="Z224" s="86">
        <v>0.152</v>
      </c>
      <c r="AA224" s="86">
        <v>1.349</v>
      </c>
      <c r="AB224" s="86">
        <v>8.9999999999999993E-3</v>
      </c>
      <c r="AC224" s="86">
        <v>0.01</v>
      </c>
      <c r="AD224" s="86">
        <v>0.01</v>
      </c>
      <c r="AE224" s="130">
        <v>9.81E+16</v>
      </c>
      <c r="AF224" s="130">
        <v>7.24E+16</v>
      </c>
      <c r="AG224" s="130">
        <v>3.79E+16</v>
      </c>
    </row>
    <row r="225" spans="1:38" x14ac:dyDescent="0.25">
      <c r="A225" s="74" t="s">
        <v>393</v>
      </c>
      <c r="B225" s="271">
        <f>SUMIF(B$5:B$179,A187,H$5:H$179)</f>
        <v>0</v>
      </c>
      <c r="C225" s="86">
        <f t="shared" si="272"/>
        <v>9.7222222222222224E-3</v>
      </c>
      <c r="D225" s="163">
        <f>B225/2*ALECA_Input!F129*(ALECA_Input!F131+ALECA_Input!F133+E225*60)/60</f>
        <v>0</v>
      </c>
      <c r="E225" s="86">
        <f t="shared" si="273"/>
        <v>0.05</v>
      </c>
      <c r="I225" s="271">
        <f t="shared" si="274"/>
        <v>0</v>
      </c>
      <c r="J225" s="271">
        <f t="shared" si="275"/>
        <v>0</v>
      </c>
      <c r="K225" s="271">
        <f t="shared" si="276"/>
        <v>0</v>
      </c>
      <c r="L225" s="271">
        <f t="shared" si="277"/>
        <v>0</v>
      </c>
      <c r="M225" s="130">
        <f t="shared" si="278"/>
        <v>0</v>
      </c>
      <c r="N225" s="271">
        <f t="shared" si="279"/>
        <v>0</v>
      </c>
      <c r="O225" s="271">
        <f>($B225/2*($C225*P225+$E225*R225)+$D225*Q225)*'Rest Calc'!B$16</f>
        <v>0</v>
      </c>
      <c r="P225" s="163">
        <v>191</v>
      </c>
      <c r="Q225" s="86">
        <v>164</v>
      </c>
      <c r="R225" s="86">
        <v>108</v>
      </c>
      <c r="S225" s="86">
        <v>1.889</v>
      </c>
      <c r="T225" s="86">
        <v>1.556</v>
      </c>
      <c r="U225" s="86">
        <v>0.876</v>
      </c>
      <c r="V225" s="86">
        <v>0.02</v>
      </c>
      <c r="W225" s="86">
        <v>1.7999999999999999E-2</v>
      </c>
      <c r="X225" s="86">
        <v>0.108</v>
      </c>
      <c r="Y225" s="86">
        <v>0.17</v>
      </c>
      <c r="Z225" s="86">
        <v>0.23</v>
      </c>
      <c r="AA225" s="86">
        <v>1.446</v>
      </c>
      <c r="AB225" s="86">
        <v>5.7000000000000002E-2</v>
      </c>
      <c r="AC225" s="86">
        <v>5.5E-2</v>
      </c>
      <c r="AD225" s="86">
        <v>0.04</v>
      </c>
      <c r="AE225" s="130">
        <v>6E+17</v>
      </c>
      <c r="AF225" s="130">
        <v>3.93E+17</v>
      </c>
      <c r="AG225" s="130">
        <v>1.44E+17</v>
      </c>
    </row>
    <row r="226" spans="1:38" x14ac:dyDescent="0.25">
      <c r="A226" s="74" t="s">
        <v>394</v>
      </c>
      <c r="B226" s="271">
        <f>SUMIF(B$5:B$179,A188,H$5:H$179)</f>
        <v>0</v>
      </c>
      <c r="C226" s="86">
        <f t="shared" si="272"/>
        <v>9.7222222222222224E-3</v>
      </c>
      <c r="D226" s="163">
        <f>B226/2*ALECA_Input!H129*(ALECA_Input!H131+ALECA_Input!H133+E226*60)/60</f>
        <v>0</v>
      </c>
      <c r="E226" s="86">
        <f t="shared" si="273"/>
        <v>0.05</v>
      </c>
      <c r="I226" s="271">
        <f t="shared" si="274"/>
        <v>0</v>
      </c>
      <c r="J226" s="271">
        <f t="shared" si="275"/>
        <v>0</v>
      </c>
      <c r="K226" s="271">
        <f t="shared" si="276"/>
        <v>0</v>
      </c>
      <c r="L226" s="271">
        <f t="shared" si="277"/>
        <v>0</v>
      </c>
      <c r="M226" s="130">
        <f t="shared" si="278"/>
        <v>0</v>
      </c>
      <c r="N226" s="271">
        <f t="shared" si="279"/>
        <v>0</v>
      </c>
      <c r="O226" s="271">
        <f>($B226/2*($C226*P226+$E226*R226)+$D226*Q226)*'Rest Calc'!B$16</f>
        <v>0</v>
      </c>
      <c r="P226" s="163">
        <v>130</v>
      </c>
      <c r="Q226" s="86">
        <v>110</v>
      </c>
      <c r="R226" s="86">
        <v>77</v>
      </c>
      <c r="S226" s="86">
        <v>1.1279999999999999</v>
      </c>
      <c r="T226" s="86">
        <v>0.70199999999999996</v>
      </c>
      <c r="U226" s="86">
        <v>0.38400000000000001</v>
      </c>
      <c r="V226" s="86">
        <v>3.5000000000000003E-2</v>
      </c>
      <c r="W226" s="86">
        <v>4.2999999999999997E-2</v>
      </c>
      <c r="X226" s="86">
        <v>0.76300000000000001</v>
      </c>
      <c r="Y226" s="86">
        <v>0.54300000000000004</v>
      </c>
      <c r="Z226" s="86">
        <v>0.38600000000000001</v>
      </c>
      <c r="AA226" s="86">
        <v>2.948</v>
      </c>
      <c r="AB226" s="86">
        <v>1.0999999999999999E-2</v>
      </c>
      <c r="AC226" s="86">
        <v>1.2999999999999999E-2</v>
      </c>
      <c r="AD226" s="86">
        <v>0.01</v>
      </c>
      <c r="AE226" s="130">
        <v>1.14E+17</v>
      </c>
      <c r="AF226" s="130">
        <v>9.48E+16</v>
      </c>
      <c r="AG226" s="130">
        <v>3.65E+16</v>
      </c>
    </row>
    <row r="227" spans="1:38" x14ac:dyDescent="0.25">
      <c r="A227" s="74" t="s">
        <v>395</v>
      </c>
      <c r="B227" s="271">
        <f>SUMIF(B$5:B$179,A189,H$5:H$179)</f>
        <v>0</v>
      </c>
      <c r="C227" s="86">
        <f t="shared" si="272"/>
        <v>9.7222222222222224E-3</v>
      </c>
      <c r="D227" s="163">
        <f>B227/2*ALECA_Input!J129*(ALECA_Input!J131+ALECA_Input!J133+E227*60)/60</f>
        <v>0</v>
      </c>
      <c r="E227" s="86">
        <f t="shared" si="273"/>
        <v>0.05</v>
      </c>
      <c r="I227" s="271">
        <f t="shared" si="274"/>
        <v>0</v>
      </c>
      <c r="J227" s="271">
        <f t="shared" si="275"/>
        <v>0</v>
      </c>
      <c r="K227" s="271">
        <f t="shared" si="276"/>
        <v>0</v>
      </c>
      <c r="L227" s="271">
        <f t="shared" si="277"/>
        <v>0</v>
      </c>
      <c r="M227" s="130">
        <f t="shared" si="278"/>
        <v>0</v>
      </c>
      <c r="N227" s="271">
        <f t="shared" si="279"/>
        <v>0</v>
      </c>
      <c r="O227" s="271">
        <f>($B227/2*($C227*P227+$E227*R227)+$D227*Q227)*'Rest Calc'!B$16</f>
        <v>0</v>
      </c>
      <c r="P227" s="163">
        <v>110</v>
      </c>
      <c r="Q227" s="86">
        <v>101</v>
      </c>
      <c r="R227" s="86">
        <v>68</v>
      </c>
      <c r="S227" s="86">
        <v>0.71399999999999997</v>
      </c>
      <c r="T227" s="86">
        <v>0.7</v>
      </c>
      <c r="U227" s="86">
        <v>0.27400000000000002</v>
      </c>
      <c r="V227" s="86">
        <v>4.9000000000000002E-2</v>
      </c>
      <c r="W227" s="86">
        <v>2.7E-2</v>
      </c>
      <c r="X227" s="86">
        <v>1.026</v>
      </c>
      <c r="Y227" s="86">
        <v>0.65500000000000003</v>
      </c>
      <c r="Z227" s="86">
        <v>0.61499999999999999</v>
      </c>
      <c r="AA227" s="86">
        <v>3.3450000000000002</v>
      </c>
      <c r="AB227" s="86">
        <v>2.5000000000000001E-2</v>
      </c>
      <c r="AC227" s="86">
        <v>2.8000000000000001E-2</v>
      </c>
      <c r="AD227" s="86">
        <v>2E-3</v>
      </c>
      <c r="AE227" s="130">
        <v>2.66E+17</v>
      </c>
      <c r="AF227" s="130">
        <v>2E+17</v>
      </c>
      <c r="AG227" s="130">
        <v>8450000000000000</v>
      </c>
    </row>
    <row r="228" spans="1:38" x14ac:dyDescent="0.25">
      <c r="A228" s="74" t="s">
        <v>396</v>
      </c>
      <c r="B228" s="271">
        <f>SUMIF(B$5:B$179,A190,H$5:H$179)</f>
        <v>0</v>
      </c>
      <c r="C228" s="86">
        <f t="shared" si="272"/>
        <v>9.7222222222222224E-3</v>
      </c>
      <c r="D228" s="245">
        <f>B228/2*ALECA_Input!J129*(ALECA_Input!J131+ALECA_Input!J133+E228*60)/60</f>
        <v>0</v>
      </c>
      <c r="E228" s="86">
        <f t="shared" si="273"/>
        <v>0.05</v>
      </c>
      <c r="I228" s="271">
        <f t="shared" si="274"/>
        <v>0</v>
      </c>
      <c r="J228" s="271">
        <f t="shared" si="275"/>
        <v>0</v>
      </c>
      <c r="K228" s="271">
        <f t="shared" si="276"/>
        <v>0</v>
      </c>
      <c r="L228" s="271">
        <f t="shared" si="277"/>
        <v>0</v>
      </c>
      <c r="M228" s="130">
        <f t="shared" si="278"/>
        <v>0</v>
      </c>
      <c r="N228" s="271">
        <f t="shared" si="279"/>
        <v>0</v>
      </c>
      <c r="O228" s="271">
        <f>($B228/2*($C228*P228+$E228*R228)+$D228*Q228)*'Rest Calc'!B$16</f>
        <v>0</v>
      </c>
      <c r="P228" s="163">
        <v>110</v>
      </c>
      <c r="Q228" s="86">
        <v>101</v>
      </c>
      <c r="R228" s="86">
        <v>68</v>
      </c>
      <c r="S228" s="86">
        <v>0.71399999999999997</v>
      </c>
      <c r="T228" s="86">
        <v>0.7</v>
      </c>
      <c r="U228" s="86">
        <v>0.27400000000000002</v>
      </c>
      <c r="V228" s="86">
        <v>4.9000000000000002E-2</v>
      </c>
      <c r="W228" s="86">
        <v>2.7E-2</v>
      </c>
      <c r="X228" s="86">
        <v>1.026</v>
      </c>
      <c r="Y228" s="86">
        <v>0.65500000000000003</v>
      </c>
      <c r="Z228" s="86">
        <v>0.61499999999999999</v>
      </c>
      <c r="AA228" s="86">
        <v>3.3450000000000002</v>
      </c>
      <c r="AB228" s="86">
        <v>2.5000000000000001E-2</v>
      </c>
      <c r="AC228" s="86">
        <v>2.8000000000000001E-2</v>
      </c>
      <c r="AD228" s="86">
        <v>2E-3</v>
      </c>
      <c r="AE228" s="130">
        <v>2.66E+17</v>
      </c>
      <c r="AF228" s="130">
        <v>2E+17</v>
      </c>
      <c r="AG228" s="130">
        <v>8450000000000000</v>
      </c>
    </row>
    <row r="229" spans="1:38" s="97" customFormat="1" x14ac:dyDescent="0.25">
      <c r="A229" s="97" t="s">
        <v>3375</v>
      </c>
      <c r="B229" s="267">
        <f>SUM(B223:B228)</f>
        <v>0</v>
      </c>
      <c r="C229" s="286"/>
      <c r="D229" s="289">
        <f>SUM(D223:D228)</f>
        <v>0</v>
      </c>
      <c r="E229" s="287"/>
      <c r="F229" s="99"/>
      <c r="G229" s="165"/>
      <c r="H229" s="99"/>
      <c r="I229" s="267">
        <f>SUM(I223:I228)</f>
        <v>0</v>
      </c>
      <c r="J229" s="267">
        <f t="shared" ref="J229:O229" si="280">SUM(J223:J228)</f>
        <v>0</v>
      </c>
      <c r="K229" s="267">
        <f t="shared" si="280"/>
        <v>0</v>
      </c>
      <c r="L229" s="267">
        <f t="shared" si="280"/>
        <v>0</v>
      </c>
      <c r="M229" s="227">
        <f t="shared" si="280"/>
        <v>0</v>
      </c>
      <c r="N229" s="267">
        <f t="shared" si="280"/>
        <v>0</v>
      </c>
      <c r="O229" s="267">
        <f t="shared" si="280"/>
        <v>0</v>
      </c>
      <c r="Q229" s="137"/>
      <c r="AC229" s="223"/>
      <c r="AH229" s="99"/>
      <c r="AI229" s="172"/>
      <c r="AJ229" s="99"/>
      <c r="AK229" s="99"/>
      <c r="AL229" s="165"/>
    </row>
    <row r="230" spans="1:38" x14ac:dyDescent="0.25">
      <c r="A230" s="74" t="s">
        <v>3376</v>
      </c>
      <c r="B230" s="272" t="e">
        <f>B229/H194</f>
        <v>#DIV/0!</v>
      </c>
      <c r="D230" s="288"/>
    </row>
    <row r="231" spans="1:38" ht="4.5" customHeight="1" x14ac:dyDescent="0.25"/>
    <row r="232" spans="1:38" x14ac:dyDescent="0.25">
      <c r="A232" s="73" t="s">
        <v>3567</v>
      </c>
      <c r="B232" s="73"/>
    </row>
    <row r="233" spans="1:38" x14ac:dyDescent="0.25">
      <c r="A233" s="74" t="s">
        <v>2939</v>
      </c>
      <c r="B233" s="74" t="s">
        <v>2940</v>
      </c>
      <c r="I233" s="176">
        <f t="shared" ref="I233:O234" si="281">I200</f>
        <v>0</v>
      </c>
      <c r="J233" s="176">
        <f t="shared" si="281"/>
        <v>0</v>
      </c>
      <c r="K233" s="176">
        <f t="shared" si="281"/>
        <v>0</v>
      </c>
      <c r="L233" s="176">
        <f t="shared" si="281"/>
        <v>0</v>
      </c>
      <c r="M233" s="176">
        <f t="shared" si="281"/>
        <v>0</v>
      </c>
      <c r="N233" s="176">
        <f t="shared" si="281"/>
        <v>0</v>
      </c>
      <c r="O233" s="176">
        <f t="shared" si="281"/>
        <v>0</v>
      </c>
    </row>
    <row r="234" spans="1:38" x14ac:dyDescent="0.25">
      <c r="A234" s="74" t="s">
        <v>2943</v>
      </c>
      <c r="B234" s="74" t="s">
        <v>2940</v>
      </c>
      <c r="I234" s="176">
        <f t="shared" si="281"/>
        <v>0</v>
      </c>
      <c r="J234" s="176">
        <f t="shared" si="281"/>
        <v>0</v>
      </c>
      <c r="K234" s="176">
        <f t="shared" si="281"/>
        <v>0</v>
      </c>
      <c r="L234" s="176">
        <f t="shared" si="281"/>
        <v>0</v>
      </c>
      <c r="M234" s="176">
        <f t="shared" si="281"/>
        <v>0</v>
      </c>
      <c r="N234" s="176">
        <f t="shared" si="281"/>
        <v>0</v>
      </c>
      <c r="O234" s="176">
        <f t="shared" si="281"/>
        <v>0</v>
      </c>
    </row>
    <row r="235" spans="1:38" s="97" customFormat="1" x14ac:dyDescent="0.25">
      <c r="A235" s="97" t="s">
        <v>2941</v>
      </c>
      <c r="B235" s="97" t="s">
        <v>3596</v>
      </c>
      <c r="C235" s="99"/>
      <c r="D235" s="99"/>
      <c r="E235" s="99"/>
      <c r="F235" s="99"/>
      <c r="G235" s="165"/>
      <c r="H235" s="99"/>
      <c r="I235" s="284">
        <f>I229+(I229*I233*(I234-1))</f>
        <v>0</v>
      </c>
      <c r="J235" s="284">
        <f t="shared" ref="J235:O235" si="282">J229+(J229*J233*(J234-1))</f>
        <v>0</v>
      </c>
      <c r="K235" s="284">
        <f t="shared" si="282"/>
        <v>0</v>
      </c>
      <c r="L235" s="284">
        <f t="shared" si="282"/>
        <v>0</v>
      </c>
      <c r="M235" s="285">
        <f t="shared" si="282"/>
        <v>0</v>
      </c>
      <c r="N235" s="284">
        <f t="shared" si="282"/>
        <v>0</v>
      </c>
      <c r="O235" s="284">
        <f t="shared" si="282"/>
        <v>0</v>
      </c>
      <c r="Q235" s="137"/>
      <c r="AC235" s="223"/>
      <c r="AH235" s="99"/>
      <c r="AI235" s="172"/>
      <c r="AJ235" s="99"/>
      <c r="AK235" s="99"/>
      <c r="AL235" s="165"/>
    </row>
    <row r="236" spans="1:38" x14ac:dyDescent="0.25">
      <c r="A236" s="97" t="s">
        <v>3528</v>
      </c>
      <c r="B236" s="97" t="s">
        <v>504</v>
      </c>
      <c r="I236" s="465">
        <f>(I229-I235)/1000</f>
        <v>0</v>
      </c>
      <c r="J236" s="465">
        <f t="shared" ref="J236:L236" si="283">(J229-J235)/1000</f>
        <v>0</v>
      </c>
      <c r="K236" s="465">
        <f t="shared" si="283"/>
        <v>0</v>
      </c>
      <c r="L236" s="465">
        <f t="shared" si="283"/>
        <v>0</v>
      </c>
      <c r="M236" s="420">
        <f>M229-M235</f>
        <v>0</v>
      </c>
      <c r="N236" s="465">
        <f t="shared" ref="N236" si="284">(N229-N235)/1000</f>
        <v>0</v>
      </c>
      <c r="O236" s="465">
        <f t="shared" ref="O236" si="285">(O229-O235)/1000</f>
        <v>0</v>
      </c>
    </row>
    <row r="237" spans="1:38" x14ac:dyDescent="0.25">
      <c r="A237" s="462"/>
      <c r="B237" s="462"/>
    </row>
    <row r="238" spans="1:38" x14ac:dyDescent="0.25">
      <c r="A238" s="73" t="s">
        <v>3405</v>
      </c>
      <c r="B238" s="73"/>
    </row>
  </sheetData>
  <sheetProtection algorithmName="SHA-512" hashValue="rtwOc+okl+2za4dBOW9XavN3XlikgINHFN2W5v1+43YdJi6e9qgJPMKaBXZM6QfIEbnumvQUfotNtLKV6cEQvg==" saltValue="95lni0auXQNFcOWTP+2XwA==" spinCount="100000" sheet="1" objects="1" scenarios="1" selectLockedCells="1" selectUnlockedCells="1"/>
  <sortState xmlns:xlrd2="http://schemas.microsoft.com/office/spreadsheetml/2017/richdata2" ref="A5:AL143">
    <sortCondition ref="A5:A143"/>
    <sortCondition ref="AI5:AI143"/>
  </sortState>
  <mergeCells count="3">
    <mergeCell ref="L184:M184"/>
    <mergeCell ref="G208:I208"/>
    <mergeCell ref="C208:E208"/>
  </mergeCells>
  <pageMargins left="0.70866141732283472" right="0.70866141732283472" top="0.78740157480314965" bottom="0.78740157480314965" header="0.31496062992125984" footer="0.31496062992125984"/>
  <pageSetup paperSize="9" scale="37" fitToWidth="2" fitToHeight="2" orientation="landscape" r:id="rId1"/>
  <headerFooter>
    <oddHeader>&amp;LFlughafen Zürich AG/Environment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843"/>
  <sheetViews>
    <sheetView workbookViewId="0">
      <pane xSplit="5" ySplit="2" topLeftCell="X521" activePane="bottomRight" state="frozen"/>
      <selection pane="topRight" activeCell="F1" sqref="F1"/>
      <selection pane="bottomLeft" activeCell="A3" sqref="A3"/>
      <selection pane="bottomRight" sqref="A1:XFD1048576"/>
    </sheetView>
  </sheetViews>
  <sheetFormatPr baseColWidth="10" defaultColWidth="11.44140625" defaultRowHeight="11.4" x14ac:dyDescent="0.2"/>
  <cols>
    <col min="1" max="1" width="13.6640625" style="184" customWidth="1"/>
    <col min="2" max="2" width="11.44140625" style="184"/>
    <col min="3" max="3" width="20.5546875" style="184" customWidth="1"/>
    <col min="4" max="4" width="8.5546875" style="185" customWidth="1"/>
    <col min="5" max="5" width="24.44140625" style="184" customWidth="1"/>
    <col min="6" max="6" width="23.33203125" style="184" customWidth="1"/>
    <col min="7" max="10" width="12" style="184" customWidth="1"/>
    <col min="11" max="14" width="11.109375" style="184" customWidth="1"/>
    <col min="15" max="15" width="12.44140625" style="184" customWidth="1"/>
    <col min="16" max="16" width="12.44140625" style="190" customWidth="1"/>
    <col min="17" max="20" width="11.109375" style="184" customWidth="1"/>
    <col min="21" max="21" width="12.88671875" style="184" customWidth="1"/>
    <col min="22" max="22" width="12.44140625" style="184" customWidth="1"/>
    <col min="23" max="46" width="11.5546875" style="323" bestFit="1" customWidth="1"/>
    <col min="47" max="50" width="12.109375" style="190" bestFit="1" customWidth="1"/>
    <col min="51" max="51" width="11.5546875" style="203" bestFit="1" customWidth="1"/>
    <col min="52" max="52" width="11.5546875" style="239" bestFit="1" customWidth="1"/>
    <col min="53" max="53" width="11.5546875" style="203" bestFit="1" customWidth="1"/>
    <col min="54" max="54" width="14.5546875" style="204" customWidth="1"/>
    <col min="55" max="55" width="52.109375" style="203" customWidth="1"/>
    <col min="56" max="16384" width="11.44140625" style="184"/>
  </cols>
  <sheetData>
    <row r="1" spans="1:56" s="206" customFormat="1" ht="25.5" customHeight="1" x14ac:dyDescent="0.25">
      <c r="A1" s="206" t="s">
        <v>2969</v>
      </c>
      <c r="B1" s="206" t="s">
        <v>692</v>
      </c>
      <c r="C1" s="206" t="s">
        <v>2970</v>
      </c>
      <c r="D1" s="207" t="s">
        <v>2971</v>
      </c>
      <c r="E1" s="206" t="s">
        <v>693</v>
      </c>
      <c r="F1" s="206" t="s">
        <v>694</v>
      </c>
      <c r="G1" s="208" t="s">
        <v>3275</v>
      </c>
      <c r="H1" s="208" t="s">
        <v>3276</v>
      </c>
      <c r="I1" s="208" t="s">
        <v>3277</v>
      </c>
      <c r="J1" s="209" t="s">
        <v>3278</v>
      </c>
      <c r="K1" s="210" t="s">
        <v>3250</v>
      </c>
      <c r="L1" s="210" t="s">
        <v>3251</v>
      </c>
      <c r="M1" s="210" t="s">
        <v>3252</v>
      </c>
      <c r="N1" s="210" t="s">
        <v>3253</v>
      </c>
      <c r="O1" s="210" t="s">
        <v>3301</v>
      </c>
      <c r="P1" s="211" t="s">
        <v>3254</v>
      </c>
      <c r="Q1" s="212" t="s">
        <v>3271</v>
      </c>
      <c r="R1" s="212" t="s">
        <v>3272</v>
      </c>
      <c r="S1" s="212" t="s">
        <v>3273</v>
      </c>
      <c r="T1" s="212" t="s">
        <v>3274</v>
      </c>
      <c r="U1" s="212" t="s">
        <v>3302</v>
      </c>
      <c r="V1" s="212" t="s">
        <v>3249</v>
      </c>
      <c r="W1" s="320" t="s">
        <v>2972</v>
      </c>
      <c r="X1" s="320" t="s">
        <v>2973</v>
      </c>
      <c r="Y1" s="320" t="s">
        <v>2974</v>
      </c>
      <c r="Z1" s="320" t="s">
        <v>2975</v>
      </c>
      <c r="AA1" s="320" t="s">
        <v>2976</v>
      </c>
      <c r="AB1" s="320" t="s">
        <v>2977</v>
      </c>
      <c r="AC1" s="320" t="s">
        <v>2978</v>
      </c>
      <c r="AD1" s="320" t="s">
        <v>2979</v>
      </c>
      <c r="AE1" s="320" t="s">
        <v>2980</v>
      </c>
      <c r="AF1" s="320" t="s">
        <v>2981</v>
      </c>
      <c r="AG1" s="320" t="s">
        <v>2982</v>
      </c>
      <c r="AH1" s="320" t="s">
        <v>2983</v>
      </c>
      <c r="AI1" s="320" t="s">
        <v>2984</v>
      </c>
      <c r="AJ1" s="320" t="s">
        <v>2985</v>
      </c>
      <c r="AK1" s="320" t="s">
        <v>2986</v>
      </c>
      <c r="AL1" s="320" t="s">
        <v>2987</v>
      </c>
      <c r="AM1" s="320" t="s">
        <v>695</v>
      </c>
      <c r="AN1" s="320" t="s">
        <v>696</v>
      </c>
      <c r="AO1" s="320" t="s">
        <v>697</v>
      </c>
      <c r="AP1" s="320" t="s">
        <v>698</v>
      </c>
      <c r="AQ1" s="320" t="s">
        <v>699</v>
      </c>
      <c r="AR1" s="320" t="s">
        <v>700</v>
      </c>
      <c r="AS1" s="320" t="s">
        <v>701</v>
      </c>
      <c r="AT1" s="320" t="s">
        <v>702</v>
      </c>
      <c r="AU1" s="316" t="s">
        <v>703</v>
      </c>
      <c r="AV1" s="316" t="s">
        <v>704</v>
      </c>
      <c r="AW1" s="316" t="s">
        <v>705</v>
      </c>
      <c r="AX1" s="316" t="s">
        <v>706</v>
      </c>
      <c r="AY1" s="213" t="s">
        <v>707</v>
      </c>
      <c r="AZ1" s="238" t="s">
        <v>2988</v>
      </c>
      <c r="BA1" s="213" t="s">
        <v>2989</v>
      </c>
      <c r="BB1" s="214" t="s">
        <v>709</v>
      </c>
      <c r="BC1" s="215" t="s">
        <v>708</v>
      </c>
      <c r="BD1" s="207" t="s">
        <v>3247</v>
      </c>
    </row>
    <row r="2" spans="1:56" s="216" customFormat="1" ht="12" x14ac:dyDescent="0.25">
      <c r="A2" s="216">
        <v>1</v>
      </c>
      <c r="B2" s="216">
        <f>A2+1</f>
        <v>2</v>
      </c>
      <c r="C2" s="216">
        <f t="shared" ref="C2:V2" si="0">B2+1</f>
        <v>3</v>
      </c>
      <c r="D2" s="216">
        <f t="shared" si="0"/>
        <v>4</v>
      </c>
      <c r="E2" s="216">
        <f t="shared" si="0"/>
        <v>5</v>
      </c>
      <c r="F2" s="216">
        <f t="shared" si="0"/>
        <v>6</v>
      </c>
      <c r="G2" s="216">
        <f t="shared" si="0"/>
        <v>7</v>
      </c>
      <c r="H2" s="216">
        <f t="shared" si="0"/>
        <v>8</v>
      </c>
      <c r="I2" s="216">
        <f t="shared" si="0"/>
        <v>9</v>
      </c>
      <c r="J2" s="216">
        <f t="shared" si="0"/>
        <v>10</v>
      </c>
      <c r="K2" s="216">
        <f t="shared" si="0"/>
        <v>11</v>
      </c>
      <c r="L2" s="216">
        <f t="shared" si="0"/>
        <v>12</v>
      </c>
      <c r="M2" s="216">
        <f t="shared" si="0"/>
        <v>13</v>
      </c>
      <c r="N2" s="216">
        <f t="shared" si="0"/>
        <v>14</v>
      </c>
      <c r="O2" s="216">
        <f t="shared" si="0"/>
        <v>15</v>
      </c>
      <c r="P2" s="216">
        <f t="shared" si="0"/>
        <v>16</v>
      </c>
      <c r="Q2" s="216">
        <f t="shared" si="0"/>
        <v>17</v>
      </c>
      <c r="R2" s="216">
        <f t="shared" si="0"/>
        <v>18</v>
      </c>
      <c r="S2" s="216">
        <f t="shared" si="0"/>
        <v>19</v>
      </c>
      <c r="T2" s="216">
        <f t="shared" si="0"/>
        <v>20</v>
      </c>
      <c r="U2" s="216">
        <f t="shared" si="0"/>
        <v>21</v>
      </c>
      <c r="V2" s="216">
        <f t="shared" si="0"/>
        <v>22</v>
      </c>
      <c r="W2" s="321" t="s">
        <v>3281</v>
      </c>
      <c r="X2" s="321" t="s">
        <v>3281</v>
      </c>
      <c r="Y2" s="321" t="s">
        <v>3281</v>
      </c>
      <c r="Z2" s="321" t="s">
        <v>3281</v>
      </c>
      <c r="AA2" s="321" t="s">
        <v>3279</v>
      </c>
      <c r="AB2" s="321" t="s">
        <v>3279</v>
      </c>
      <c r="AC2" s="321" t="s">
        <v>3279</v>
      </c>
      <c r="AD2" s="321" t="s">
        <v>3279</v>
      </c>
      <c r="AE2" s="321" t="s">
        <v>3279</v>
      </c>
      <c r="AF2" s="321" t="s">
        <v>3279</v>
      </c>
      <c r="AG2" s="321" t="s">
        <v>3279</v>
      </c>
      <c r="AH2" s="321" t="s">
        <v>3279</v>
      </c>
      <c r="AI2" s="321" t="s">
        <v>3279</v>
      </c>
      <c r="AJ2" s="321" t="s">
        <v>3279</v>
      </c>
      <c r="AK2" s="321" t="s">
        <v>3279</v>
      </c>
      <c r="AL2" s="321" t="s">
        <v>3279</v>
      </c>
      <c r="AM2" s="321" t="s">
        <v>3279</v>
      </c>
      <c r="AN2" s="321" t="s">
        <v>3279</v>
      </c>
      <c r="AO2" s="321" t="s">
        <v>3279</v>
      </c>
      <c r="AP2" s="321" t="s">
        <v>3279</v>
      </c>
      <c r="AQ2" s="321" t="s">
        <v>3279</v>
      </c>
      <c r="AR2" s="321" t="s">
        <v>3279</v>
      </c>
      <c r="AS2" s="321" t="s">
        <v>3279</v>
      </c>
      <c r="AT2" s="321" t="s">
        <v>3279</v>
      </c>
      <c r="AU2" s="317" t="s">
        <v>3280</v>
      </c>
      <c r="AV2" s="317" t="s">
        <v>3280</v>
      </c>
      <c r="AW2" s="317" t="s">
        <v>3280</v>
      </c>
      <c r="AX2" s="317" t="s">
        <v>3280</v>
      </c>
      <c r="AY2" s="217"/>
      <c r="AZ2" s="216">
        <v>52</v>
      </c>
      <c r="BA2" s="217"/>
      <c r="BB2" s="218"/>
      <c r="BC2" s="217"/>
    </row>
    <row r="3" spans="1:56" s="182" customFormat="1" x14ac:dyDescent="0.2">
      <c r="A3" s="182" t="s">
        <v>740</v>
      </c>
      <c r="B3" s="182" t="s">
        <v>2990</v>
      </c>
      <c r="C3" s="182" t="s">
        <v>740</v>
      </c>
      <c r="D3" s="183" t="s">
        <v>2937</v>
      </c>
      <c r="E3" s="182" t="s">
        <v>169</v>
      </c>
      <c r="F3" s="182" t="s">
        <v>2991</v>
      </c>
      <c r="K3" s="201"/>
      <c r="L3" s="201"/>
      <c r="M3" s="201"/>
      <c r="N3" s="201"/>
      <c r="O3" s="201"/>
      <c r="P3" s="202"/>
      <c r="Q3" s="201"/>
      <c r="R3" s="201"/>
      <c r="S3" s="201"/>
      <c r="T3" s="201"/>
      <c r="U3" s="201"/>
      <c r="V3" s="201"/>
      <c r="W3" s="322">
        <v>3.6999999999999998E-2</v>
      </c>
      <c r="X3" s="322">
        <v>3.2000000000000001E-2</v>
      </c>
      <c r="Y3" s="322">
        <v>2.1000000000000001E-2</v>
      </c>
      <c r="Z3" s="322"/>
      <c r="AA3" s="322">
        <v>8.6999999999999993</v>
      </c>
      <c r="AB3" s="322">
        <v>4.09</v>
      </c>
      <c r="AC3" s="322">
        <v>4.75</v>
      </c>
      <c r="AD3" s="322"/>
      <c r="AE3" s="322">
        <v>0.25</v>
      </c>
      <c r="AF3" s="322">
        <v>0.2</v>
      </c>
      <c r="AG3" s="322">
        <v>3.53</v>
      </c>
      <c r="AH3" s="322"/>
      <c r="AI3" s="322">
        <v>5.0999999999999996</v>
      </c>
      <c r="AJ3" s="322">
        <v>4</v>
      </c>
      <c r="AK3" s="322">
        <v>29.8</v>
      </c>
      <c r="AL3" s="322"/>
      <c r="AM3" s="322">
        <v>8.2887923441185646E-2</v>
      </c>
      <c r="AN3" s="322">
        <v>0.12193444043167016</v>
      </c>
      <c r="AO3" s="322">
        <v>0.1300301593585389</v>
      </c>
      <c r="AP3" s="322"/>
      <c r="AQ3" s="322">
        <v>0.16059792344118565</v>
      </c>
      <c r="AR3" s="322">
        <v>0.18609444043167017</v>
      </c>
      <c r="AS3" s="322">
        <v>0.37755265935853888</v>
      </c>
      <c r="AT3" s="322"/>
      <c r="AU3" s="318">
        <v>876447381479249.13</v>
      </c>
      <c r="AV3" s="318">
        <v>863744185723247.75</v>
      </c>
      <c r="AW3" s="318">
        <v>471598921380232.5</v>
      </c>
      <c r="AX3" s="318"/>
      <c r="AY3" s="203"/>
      <c r="AZ3" s="239"/>
      <c r="BA3" s="203"/>
      <c r="BB3" s="204">
        <v>39748</v>
      </c>
      <c r="BC3" s="203" t="s">
        <v>724</v>
      </c>
    </row>
    <row r="4" spans="1:56" s="182" customFormat="1" x14ac:dyDescent="0.2">
      <c r="A4" s="182" t="s">
        <v>740</v>
      </c>
      <c r="B4" s="182" t="s">
        <v>2992</v>
      </c>
      <c r="C4" s="182" t="s">
        <v>740</v>
      </c>
      <c r="D4" s="183" t="s">
        <v>2937</v>
      </c>
      <c r="E4" s="182" t="s">
        <v>2993</v>
      </c>
      <c r="F4" s="182" t="s">
        <v>2994</v>
      </c>
      <c r="K4" s="201"/>
      <c r="L4" s="201"/>
      <c r="M4" s="201"/>
      <c r="N4" s="201"/>
      <c r="O4" s="201"/>
      <c r="P4" s="202"/>
      <c r="Q4" s="201"/>
      <c r="R4" s="201"/>
      <c r="S4" s="201"/>
      <c r="T4" s="201"/>
      <c r="U4" s="201"/>
      <c r="V4" s="201"/>
      <c r="W4" s="322">
        <v>3.5000000000000003E-2</v>
      </c>
      <c r="X4" s="322">
        <v>2.9000000000000001E-2</v>
      </c>
      <c r="Y4" s="322">
        <v>2.1999999999999999E-2</v>
      </c>
      <c r="Z4" s="322"/>
      <c r="AA4" s="322">
        <v>8.6999999999999993</v>
      </c>
      <c r="AB4" s="322">
        <v>8.94</v>
      </c>
      <c r="AC4" s="322">
        <v>5.16</v>
      </c>
      <c r="AD4" s="322"/>
      <c r="AE4" s="322">
        <v>0.28999999999999998</v>
      </c>
      <c r="AF4" s="322">
        <v>0.61</v>
      </c>
      <c r="AG4" s="322">
        <v>15.9</v>
      </c>
      <c r="AH4" s="322"/>
      <c r="AI4" s="322">
        <v>3.22</v>
      </c>
      <c r="AJ4" s="322">
        <v>2.98</v>
      </c>
      <c r="AK4" s="322">
        <v>46</v>
      </c>
      <c r="AL4" s="322"/>
      <c r="AM4" s="322">
        <v>8.2887923441185646E-2</v>
      </c>
      <c r="AN4" s="322">
        <v>0.12193444043167016</v>
      </c>
      <c r="AO4" s="322">
        <v>0.1300301593585389</v>
      </c>
      <c r="AP4" s="322"/>
      <c r="AQ4" s="322">
        <v>0.16519792344118564</v>
      </c>
      <c r="AR4" s="322">
        <v>0.21725444043167016</v>
      </c>
      <c r="AS4" s="322">
        <v>1.0733651593585389</v>
      </c>
      <c r="AT4" s="322"/>
      <c r="AU4" s="318">
        <v>876447381479249.13</v>
      </c>
      <c r="AV4" s="318">
        <v>863744185723247.75</v>
      </c>
      <c r="AW4" s="318">
        <v>471598921380232.5</v>
      </c>
      <c r="AX4" s="318"/>
      <c r="AY4" s="203"/>
      <c r="AZ4" s="239"/>
      <c r="BA4" s="203"/>
      <c r="BB4" s="204">
        <v>39748</v>
      </c>
      <c r="BC4" s="203" t="s">
        <v>724</v>
      </c>
    </row>
    <row r="5" spans="1:56" s="182" customFormat="1" x14ac:dyDescent="0.2">
      <c r="A5" s="182" t="s">
        <v>740</v>
      </c>
      <c r="B5" s="182" t="s">
        <v>2995</v>
      </c>
      <c r="C5" s="182" t="s">
        <v>740</v>
      </c>
      <c r="D5" s="183" t="s">
        <v>2937</v>
      </c>
      <c r="E5" s="182" t="s">
        <v>2996</v>
      </c>
      <c r="F5" s="182" t="s">
        <v>2997</v>
      </c>
      <c r="K5" s="201"/>
      <c r="L5" s="201"/>
      <c r="M5" s="201"/>
      <c r="N5" s="201"/>
      <c r="O5" s="201"/>
      <c r="P5" s="202"/>
      <c r="Q5" s="201"/>
      <c r="R5" s="201"/>
      <c r="S5" s="201"/>
      <c r="T5" s="201"/>
      <c r="U5" s="201"/>
      <c r="V5" s="201"/>
      <c r="W5" s="322">
        <v>3.9E-2</v>
      </c>
      <c r="X5" s="322">
        <v>3.4000000000000002E-2</v>
      </c>
      <c r="Y5" s="322">
        <v>2.5000000000000001E-2</v>
      </c>
      <c r="Z5" s="322"/>
      <c r="AA5" s="322">
        <v>7.43</v>
      </c>
      <c r="AB5" s="322">
        <v>6.96</v>
      </c>
      <c r="AC5" s="322">
        <v>4.6399999999999997</v>
      </c>
      <c r="AD5" s="322"/>
      <c r="AE5" s="322">
        <v>0.09</v>
      </c>
      <c r="AF5" s="322">
        <v>0.06</v>
      </c>
      <c r="AG5" s="322">
        <v>2.13</v>
      </c>
      <c r="AH5" s="322"/>
      <c r="AI5" s="322">
        <v>1.5</v>
      </c>
      <c r="AJ5" s="322">
        <v>1.88</v>
      </c>
      <c r="AK5" s="322">
        <v>22</v>
      </c>
      <c r="AL5" s="322"/>
      <c r="AM5" s="322">
        <v>5.1320544980161566E-2</v>
      </c>
      <c r="AN5" s="322">
        <v>6.9698974715713277E-2</v>
      </c>
      <c r="AO5" s="322">
        <v>7.4859012665867516E-2</v>
      </c>
      <c r="AP5" s="322"/>
      <c r="AQ5" s="322">
        <v>0.11063054498016156</v>
      </c>
      <c r="AR5" s="322">
        <v>0.12321897471571329</v>
      </c>
      <c r="AS5" s="322">
        <v>0.24363151266586752</v>
      </c>
      <c r="AT5" s="322"/>
      <c r="AU5" s="318">
        <v>542657547644641.81</v>
      </c>
      <c r="AV5" s="318">
        <v>493725020990317.81</v>
      </c>
      <c r="AW5" s="318">
        <v>271501856207591.84</v>
      </c>
      <c r="AX5" s="318"/>
      <c r="AY5" s="203"/>
      <c r="AZ5" s="239"/>
      <c r="BA5" s="203"/>
      <c r="BB5" s="204">
        <v>39748</v>
      </c>
      <c r="BC5" s="203" t="s">
        <v>724</v>
      </c>
    </row>
    <row r="6" spans="1:56" s="182" customFormat="1" x14ac:dyDescent="0.2">
      <c r="A6" s="182" t="s">
        <v>740</v>
      </c>
      <c r="B6" s="182" t="s">
        <v>2998</v>
      </c>
      <c r="C6" s="182" t="s">
        <v>740</v>
      </c>
      <c r="D6" s="183" t="s">
        <v>2937</v>
      </c>
      <c r="E6" s="182" t="s">
        <v>2999</v>
      </c>
      <c r="F6" s="182" t="s">
        <v>3000</v>
      </c>
      <c r="K6" s="201"/>
      <c r="L6" s="201"/>
      <c r="M6" s="201"/>
      <c r="N6" s="201"/>
      <c r="O6" s="201"/>
      <c r="P6" s="202"/>
      <c r="Q6" s="201"/>
      <c r="R6" s="201"/>
      <c r="S6" s="201"/>
      <c r="T6" s="201"/>
      <c r="U6" s="201"/>
      <c r="V6" s="201"/>
      <c r="W6" s="322">
        <v>4.9000000000000002E-2</v>
      </c>
      <c r="X6" s="322">
        <v>3.7999999999999999E-2</v>
      </c>
      <c r="Y6" s="322">
        <v>2.8000000000000001E-2</v>
      </c>
      <c r="Z6" s="322"/>
      <c r="AA6" s="322">
        <v>10.9</v>
      </c>
      <c r="AB6" s="322">
        <v>10.199999999999999</v>
      </c>
      <c r="AC6" s="322">
        <v>7.98</v>
      </c>
      <c r="AD6" s="322"/>
      <c r="AE6" s="322">
        <v>0.14000000000000001</v>
      </c>
      <c r="AF6" s="322">
        <v>0.21</v>
      </c>
      <c r="AG6" s="322">
        <v>1.1299999999999999</v>
      </c>
      <c r="AH6" s="322"/>
      <c r="AI6" s="322">
        <v>1.2</v>
      </c>
      <c r="AJ6" s="322">
        <v>1.46</v>
      </c>
      <c r="AK6" s="322">
        <v>11.1</v>
      </c>
      <c r="AL6" s="322"/>
      <c r="AM6" s="322">
        <v>0.21560000000000001</v>
      </c>
      <c r="AN6" s="322">
        <v>0.1236</v>
      </c>
      <c r="AO6" s="322">
        <v>0.15679999999999999</v>
      </c>
      <c r="AP6" s="322"/>
      <c r="AQ6" s="322">
        <v>0.28066000000000002</v>
      </c>
      <c r="AR6" s="322">
        <v>0.18851999999999999</v>
      </c>
      <c r="AS6" s="322">
        <v>0.26932250000000002</v>
      </c>
      <c r="AT6" s="322"/>
      <c r="AU6" s="318">
        <v>2500000000000000</v>
      </c>
      <c r="AV6" s="318">
        <v>3000000000000000</v>
      </c>
      <c r="AW6" s="318">
        <v>4800000000000000</v>
      </c>
      <c r="AX6" s="318"/>
      <c r="AY6" s="203"/>
      <c r="AZ6" s="239"/>
      <c r="BA6" s="203"/>
      <c r="BB6" s="204">
        <v>43220</v>
      </c>
      <c r="BC6" s="203" t="s">
        <v>3001</v>
      </c>
    </row>
    <row r="7" spans="1:56" s="182" customFormat="1" x14ac:dyDescent="0.2">
      <c r="A7" s="182" t="s">
        <v>740</v>
      </c>
      <c r="B7" s="182" t="s">
        <v>3002</v>
      </c>
      <c r="C7" s="182" t="s">
        <v>740</v>
      </c>
      <c r="D7" s="183" t="s">
        <v>2937</v>
      </c>
      <c r="E7" s="182" t="s">
        <v>3003</v>
      </c>
      <c r="F7" s="182" t="s">
        <v>3004</v>
      </c>
      <c r="K7" s="201"/>
      <c r="L7" s="201"/>
      <c r="M7" s="201"/>
      <c r="N7" s="201"/>
      <c r="O7" s="201"/>
      <c r="P7" s="202"/>
      <c r="Q7" s="201"/>
      <c r="R7" s="201"/>
      <c r="S7" s="201"/>
      <c r="T7" s="201"/>
      <c r="U7" s="201"/>
      <c r="V7" s="201"/>
      <c r="W7" s="322">
        <v>5.3999999999999999E-2</v>
      </c>
      <c r="X7" s="322">
        <v>4.8000000000000001E-2</v>
      </c>
      <c r="Y7" s="322">
        <v>2.9000000000000001E-2</v>
      </c>
      <c r="Z7" s="322"/>
      <c r="AA7" s="322">
        <v>10.9</v>
      </c>
      <c r="AB7" s="322">
        <v>10.199999999999999</v>
      </c>
      <c r="AC7" s="322">
        <v>7.98</v>
      </c>
      <c r="AD7" s="322"/>
      <c r="AE7" s="322">
        <v>0.14000000000000001</v>
      </c>
      <c r="AF7" s="322">
        <v>0.21</v>
      </c>
      <c r="AG7" s="322">
        <v>1.1299999999999999</v>
      </c>
      <c r="AH7" s="322"/>
      <c r="AI7" s="322">
        <v>1.2</v>
      </c>
      <c r="AJ7" s="322">
        <v>1.46</v>
      </c>
      <c r="AK7" s="322">
        <v>11.1</v>
      </c>
      <c r="AL7" s="322"/>
      <c r="AM7" s="322">
        <v>0.52070441443885707</v>
      </c>
      <c r="AN7" s="322">
        <v>0.51371990029964321</v>
      </c>
      <c r="AO7" s="322">
        <v>0.54782783490156084</v>
      </c>
      <c r="AP7" s="322"/>
      <c r="AQ7" s="322">
        <v>0.58576441443885696</v>
      </c>
      <c r="AR7" s="322">
        <v>0.57863990029964329</v>
      </c>
      <c r="AS7" s="322">
        <v>0.66035033490156092</v>
      </c>
      <c r="AT7" s="322"/>
      <c r="AU7" s="318">
        <v>5505868667146016</v>
      </c>
      <c r="AV7" s="318">
        <v>3639025819147441.5</v>
      </c>
      <c r="AW7" s="318">
        <v>1986885329650858.3</v>
      </c>
      <c r="AX7" s="318"/>
      <c r="AY7" s="203"/>
      <c r="AZ7" s="239"/>
      <c r="BA7" s="203"/>
      <c r="BB7" s="204">
        <v>39748</v>
      </c>
      <c r="BC7" s="203" t="s">
        <v>724</v>
      </c>
    </row>
    <row r="8" spans="1:56" s="182" customFormat="1" x14ac:dyDescent="0.2">
      <c r="A8" s="182" t="s">
        <v>740</v>
      </c>
      <c r="B8" s="182" t="s">
        <v>3005</v>
      </c>
      <c r="C8" s="182" t="s">
        <v>740</v>
      </c>
      <c r="D8" s="183" t="s">
        <v>2937</v>
      </c>
      <c r="E8" s="182" t="s">
        <v>3006</v>
      </c>
      <c r="F8" s="182" t="s">
        <v>3007</v>
      </c>
      <c r="K8" s="201"/>
      <c r="L8" s="201"/>
      <c r="M8" s="201"/>
      <c r="N8" s="201"/>
      <c r="O8" s="201"/>
      <c r="P8" s="202"/>
      <c r="Q8" s="201"/>
      <c r="R8" s="201"/>
      <c r="S8" s="201"/>
      <c r="T8" s="201"/>
      <c r="U8" s="201"/>
      <c r="V8" s="201"/>
      <c r="W8" s="322">
        <v>5.8000000000000003E-2</v>
      </c>
      <c r="X8" s="322">
        <v>6.0999999999999999E-2</v>
      </c>
      <c r="Y8" s="322">
        <v>3.3000000000000002E-2</v>
      </c>
      <c r="Z8" s="322"/>
      <c r="AA8" s="322">
        <v>11.2</v>
      </c>
      <c r="AB8" s="322">
        <v>10.3</v>
      </c>
      <c r="AC8" s="322">
        <v>7.41</v>
      </c>
      <c r="AD8" s="322"/>
      <c r="AE8" s="322">
        <v>0.12</v>
      </c>
      <c r="AF8" s="322">
        <v>0.12</v>
      </c>
      <c r="AG8" s="322">
        <v>0.88</v>
      </c>
      <c r="AH8" s="322"/>
      <c r="AI8" s="322">
        <v>0.53</v>
      </c>
      <c r="AJ8" s="322">
        <v>0.53</v>
      </c>
      <c r="AK8" s="322">
        <v>9.3800000000000008</v>
      </c>
      <c r="AL8" s="322"/>
      <c r="AM8" s="322">
        <v>5.1320544980161566E-2</v>
      </c>
      <c r="AN8" s="322">
        <v>7.5496425474389312E-2</v>
      </c>
      <c r="AO8" s="322">
        <v>0.19388494812733034</v>
      </c>
      <c r="AP8" s="322"/>
      <c r="AQ8" s="322">
        <v>0.11408054498016156</v>
      </c>
      <c r="AR8" s="322">
        <v>0.1335764254743893</v>
      </c>
      <c r="AS8" s="322">
        <v>0.29234494812733036</v>
      </c>
      <c r="AT8" s="322"/>
      <c r="AU8" s="318">
        <v>542657547644641.81</v>
      </c>
      <c r="AV8" s="318">
        <v>534792289328088</v>
      </c>
      <c r="AW8" s="318">
        <v>703190189566639.63</v>
      </c>
      <c r="AX8" s="318"/>
      <c r="AY8" s="203"/>
      <c r="AZ8" s="239"/>
      <c r="BA8" s="203"/>
      <c r="BB8" s="204">
        <v>39748</v>
      </c>
      <c r="BC8" s="203" t="s">
        <v>724</v>
      </c>
    </row>
    <row r="9" spans="1:56" s="182" customFormat="1" x14ac:dyDescent="0.2">
      <c r="A9" s="182" t="s">
        <v>740</v>
      </c>
      <c r="B9" s="182" t="s">
        <v>3008</v>
      </c>
      <c r="C9" s="182" t="s">
        <v>740</v>
      </c>
      <c r="D9" s="183" t="s">
        <v>2937</v>
      </c>
      <c r="E9" s="182" t="s">
        <v>3009</v>
      </c>
      <c r="F9" s="182" t="s">
        <v>3010</v>
      </c>
      <c r="K9" s="201"/>
      <c r="L9" s="201"/>
      <c r="M9" s="201"/>
      <c r="N9" s="201"/>
      <c r="O9" s="201"/>
      <c r="P9" s="202"/>
      <c r="Q9" s="201"/>
      <c r="R9" s="201"/>
      <c r="S9" s="201"/>
      <c r="T9" s="201"/>
      <c r="U9" s="201"/>
      <c r="V9" s="201"/>
      <c r="W9" s="322">
        <v>5.8999999999999997E-2</v>
      </c>
      <c r="X9" s="322">
        <v>5.5E-2</v>
      </c>
      <c r="Y9" s="322">
        <v>3.5000000000000003E-2</v>
      </c>
      <c r="Z9" s="322"/>
      <c r="AA9" s="322">
        <v>15.15</v>
      </c>
      <c r="AB9" s="322">
        <v>15.45</v>
      </c>
      <c r="AC9" s="322">
        <v>8.19</v>
      </c>
      <c r="AD9" s="322"/>
      <c r="AE9" s="322">
        <v>0.12</v>
      </c>
      <c r="AF9" s="322">
        <v>0.09</v>
      </c>
      <c r="AG9" s="322">
        <v>0.84</v>
      </c>
      <c r="AH9" s="322"/>
      <c r="AI9" s="322">
        <v>0.82</v>
      </c>
      <c r="AJ9" s="322">
        <v>0.77</v>
      </c>
      <c r="AK9" s="322">
        <v>9.89</v>
      </c>
      <c r="AL9" s="322"/>
      <c r="AM9" s="322">
        <v>4.3741257028835009E-2</v>
      </c>
      <c r="AN9" s="322">
        <v>6.434671636300994E-2</v>
      </c>
      <c r="AO9" s="322">
        <v>4.046169711924643E-2</v>
      </c>
      <c r="AP9" s="322"/>
      <c r="AQ9" s="322">
        <v>0.10650125702883501</v>
      </c>
      <c r="AR9" s="322">
        <v>0.12014671636300996</v>
      </c>
      <c r="AS9" s="322">
        <v>0.13667169711924645</v>
      </c>
      <c r="AT9" s="322"/>
      <c r="AU9" s="318">
        <v>462515027448308.13</v>
      </c>
      <c r="AV9" s="318">
        <v>455811351839338</v>
      </c>
      <c r="AW9" s="318">
        <v>146748206822044.56</v>
      </c>
      <c r="AX9" s="318"/>
      <c r="AY9" s="203"/>
      <c r="AZ9" s="239"/>
      <c r="BA9" s="203"/>
      <c r="BB9" s="204">
        <v>39748</v>
      </c>
      <c r="BC9" s="203" t="s">
        <v>724</v>
      </c>
    </row>
    <row r="10" spans="1:56" s="182" customFormat="1" x14ac:dyDescent="0.2">
      <c r="A10" s="182" t="s">
        <v>740</v>
      </c>
      <c r="B10" s="182" t="s">
        <v>3011</v>
      </c>
      <c r="C10" s="182" t="s">
        <v>740</v>
      </c>
      <c r="D10" s="183" t="s">
        <v>2937</v>
      </c>
      <c r="E10" s="182" t="s">
        <v>3012</v>
      </c>
      <c r="F10" s="182" t="s">
        <v>3013</v>
      </c>
      <c r="K10" s="201"/>
      <c r="L10" s="201"/>
      <c r="M10" s="201"/>
      <c r="N10" s="201"/>
      <c r="O10" s="201"/>
      <c r="P10" s="202"/>
      <c r="Q10" s="201"/>
      <c r="R10" s="201"/>
      <c r="S10" s="201"/>
      <c r="T10" s="201"/>
      <c r="U10" s="201"/>
      <c r="V10" s="201"/>
      <c r="W10" s="322">
        <v>8.6999999999999994E-2</v>
      </c>
      <c r="X10" s="322">
        <v>7.3999999999999996E-2</v>
      </c>
      <c r="Y10" s="322">
        <v>4.7E-2</v>
      </c>
      <c r="Z10" s="322"/>
      <c r="AA10" s="322">
        <v>12.5</v>
      </c>
      <c r="AB10" s="322">
        <v>12.2</v>
      </c>
      <c r="AC10" s="322">
        <v>6.9</v>
      </c>
      <c r="AD10" s="322"/>
      <c r="AE10" s="322">
        <v>0.11</v>
      </c>
      <c r="AF10" s="322">
        <v>0.15</v>
      </c>
      <c r="AG10" s="322">
        <v>0.48</v>
      </c>
      <c r="AH10" s="322"/>
      <c r="AI10" s="322">
        <v>0.65</v>
      </c>
      <c r="AJ10" s="322">
        <v>0.64</v>
      </c>
      <c r="AK10" s="322">
        <v>8.9700000000000006</v>
      </c>
      <c r="AL10" s="322"/>
      <c r="AM10" s="322">
        <v>1.21E-2</v>
      </c>
      <c r="AN10" s="322">
        <v>2.52E-2</v>
      </c>
      <c r="AO10" s="322">
        <v>2.8000000000000001E-2</v>
      </c>
      <c r="AP10" s="322"/>
      <c r="AQ10" s="322">
        <v>7.3709999999999998E-2</v>
      </c>
      <c r="AR10" s="322">
        <v>8.5559999999999997E-2</v>
      </c>
      <c r="AS10" s="322">
        <v>0.10396</v>
      </c>
      <c r="AT10" s="322"/>
      <c r="AU10" s="318">
        <v>187500000000000</v>
      </c>
      <c r="AV10" s="318">
        <v>1140000000000000</v>
      </c>
      <c r="AW10" s="318">
        <v>384000000000000</v>
      </c>
      <c r="AX10" s="318"/>
      <c r="AY10" s="203"/>
      <c r="AZ10" s="239"/>
      <c r="BA10" s="203"/>
      <c r="BB10" s="204">
        <v>39748</v>
      </c>
      <c r="BC10" s="203" t="s">
        <v>3001</v>
      </c>
    </row>
    <row r="11" spans="1:56" s="182" customFormat="1" x14ac:dyDescent="0.2">
      <c r="A11" s="182" t="s">
        <v>740</v>
      </c>
      <c r="B11" s="182" t="s">
        <v>3014</v>
      </c>
      <c r="C11" s="182" t="s">
        <v>740</v>
      </c>
      <c r="D11" s="183" t="s">
        <v>2937</v>
      </c>
      <c r="E11" s="182" t="s">
        <v>3015</v>
      </c>
      <c r="F11" s="182" t="s">
        <v>3013</v>
      </c>
      <c r="K11" s="201"/>
      <c r="L11" s="201"/>
      <c r="M11" s="201"/>
      <c r="N11" s="201"/>
      <c r="O11" s="201"/>
      <c r="P11" s="202"/>
      <c r="Q11" s="201"/>
      <c r="R11" s="201"/>
      <c r="S11" s="201"/>
      <c r="T11" s="201"/>
      <c r="U11" s="201"/>
      <c r="V11" s="201"/>
      <c r="W11" s="322">
        <v>8.6999999999999994E-2</v>
      </c>
      <c r="X11" s="322">
        <v>7.3999999999999996E-2</v>
      </c>
      <c r="Y11" s="322">
        <v>4.7E-2</v>
      </c>
      <c r="Z11" s="322"/>
      <c r="AA11" s="322">
        <v>12.5</v>
      </c>
      <c r="AB11" s="322">
        <v>12.2</v>
      </c>
      <c r="AC11" s="322">
        <v>6.9</v>
      </c>
      <c r="AD11" s="322"/>
      <c r="AE11" s="322">
        <v>0.11</v>
      </c>
      <c r="AF11" s="322">
        <v>0.15</v>
      </c>
      <c r="AG11" s="322">
        <v>0.48</v>
      </c>
      <c r="AH11" s="322"/>
      <c r="AI11" s="322">
        <v>0.65</v>
      </c>
      <c r="AJ11" s="322">
        <v>0.64</v>
      </c>
      <c r="AK11" s="322">
        <v>8.9700000000000006</v>
      </c>
      <c r="AL11" s="322"/>
      <c r="AM11" s="322">
        <v>1.21E-2</v>
      </c>
      <c r="AN11" s="322">
        <v>2.52E-2</v>
      </c>
      <c r="AO11" s="322">
        <v>2.8000000000000001E-2</v>
      </c>
      <c r="AP11" s="322"/>
      <c r="AQ11" s="322">
        <v>7.3709999999999998E-2</v>
      </c>
      <c r="AR11" s="322">
        <v>8.5559999999999997E-2</v>
      </c>
      <c r="AS11" s="322">
        <v>0.10396</v>
      </c>
      <c r="AT11" s="322"/>
      <c r="AU11" s="318">
        <v>187500000000000</v>
      </c>
      <c r="AV11" s="318">
        <v>1140000000000000</v>
      </c>
      <c r="AW11" s="318">
        <v>384000000000000</v>
      </c>
      <c r="AX11" s="318"/>
      <c r="AY11" s="203"/>
      <c r="AZ11" s="239"/>
      <c r="BA11" s="203"/>
      <c r="BB11" s="204">
        <v>39748</v>
      </c>
      <c r="BC11" s="203" t="s">
        <v>3001</v>
      </c>
    </row>
    <row r="12" spans="1:56" s="182" customFormat="1" x14ac:dyDescent="0.2">
      <c r="A12" s="182" t="s">
        <v>740</v>
      </c>
      <c r="B12" s="182" t="s">
        <v>3016</v>
      </c>
      <c r="C12" s="182" t="s">
        <v>740</v>
      </c>
      <c r="D12" s="183" t="s">
        <v>2937</v>
      </c>
      <c r="E12" s="182" t="s">
        <v>3017</v>
      </c>
      <c r="F12" s="182" t="s">
        <v>3018</v>
      </c>
      <c r="K12" s="201"/>
      <c r="L12" s="201"/>
      <c r="M12" s="201"/>
      <c r="N12" s="201"/>
      <c r="O12" s="201"/>
      <c r="P12" s="202"/>
      <c r="Q12" s="201"/>
      <c r="R12" s="201"/>
      <c r="S12" s="201"/>
      <c r="T12" s="201"/>
      <c r="U12" s="201"/>
      <c r="V12" s="201"/>
      <c r="W12" s="322">
        <v>0.02</v>
      </c>
      <c r="X12" s="322">
        <v>1.9E-2</v>
      </c>
      <c r="Y12" s="322">
        <v>1.2E-2</v>
      </c>
      <c r="Z12" s="322"/>
      <c r="AA12" s="322">
        <v>4.91</v>
      </c>
      <c r="AB12" s="322">
        <v>4.93</v>
      </c>
      <c r="AC12" s="322">
        <v>6.14</v>
      </c>
      <c r="AD12" s="322"/>
      <c r="AE12" s="322">
        <v>0.42</v>
      </c>
      <c r="AF12" s="322">
        <v>0.49</v>
      </c>
      <c r="AG12" s="322">
        <v>1.69</v>
      </c>
      <c r="AH12" s="322"/>
      <c r="AI12" s="322">
        <v>6.48</v>
      </c>
      <c r="AJ12" s="322">
        <v>6.47</v>
      </c>
      <c r="AK12" s="322">
        <v>6.26</v>
      </c>
      <c r="AL12" s="322"/>
      <c r="AM12" s="322">
        <v>1.3582861099867438</v>
      </c>
      <c r="AN12" s="322">
        <v>1.3400666206234246</v>
      </c>
      <c r="AO12" s="322">
        <v>0.15256119954985212</v>
      </c>
      <c r="AP12" s="322"/>
      <c r="AQ12" s="322">
        <v>1.4555461099867439</v>
      </c>
      <c r="AR12" s="322">
        <v>1.4262666206234247</v>
      </c>
      <c r="AS12" s="322">
        <v>0.29658369954985214</v>
      </c>
      <c r="AT12" s="322"/>
      <c r="AU12" s="318">
        <v>1.4362361306375712E+16</v>
      </c>
      <c r="AV12" s="318">
        <v>9492599038857378</v>
      </c>
      <c r="AW12" s="318">
        <v>553315457791600.25</v>
      </c>
      <c r="AX12" s="318"/>
      <c r="AY12" s="203"/>
      <c r="AZ12" s="239"/>
      <c r="BA12" s="203"/>
      <c r="BB12" s="204">
        <v>39748</v>
      </c>
      <c r="BC12" s="203" t="s">
        <v>724</v>
      </c>
    </row>
    <row r="13" spans="1:56" s="182" customFormat="1" x14ac:dyDescent="0.2">
      <c r="A13" s="182" t="s">
        <v>740</v>
      </c>
      <c r="B13" s="182" t="s">
        <v>3019</v>
      </c>
      <c r="C13" s="182" t="s">
        <v>740</v>
      </c>
      <c r="D13" s="183" t="s">
        <v>2937</v>
      </c>
      <c r="E13" s="182" t="s">
        <v>3020</v>
      </c>
      <c r="F13" s="182" t="s">
        <v>3021</v>
      </c>
      <c r="K13" s="201"/>
      <c r="L13" s="201"/>
      <c r="M13" s="201"/>
      <c r="N13" s="201"/>
      <c r="O13" s="201"/>
      <c r="P13" s="202"/>
      <c r="Q13" s="201"/>
      <c r="R13" s="201"/>
      <c r="S13" s="201"/>
      <c r="T13" s="201"/>
      <c r="U13" s="201"/>
      <c r="V13" s="201"/>
      <c r="W13" s="322">
        <v>3.5999999999999997E-2</v>
      </c>
      <c r="X13" s="322">
        <v>3.1E-2</v>
      </c>
      <c r="Y13" s="322">
        <v>2.4E-2</v>
      </c>
      <c r="Z13" s="322"/>
      <c r="AA13" s="322">
        <v>10.4</v>
      </c>
      <c r="AB13" s="322">
        <v>10.1</v>
      </c>
      <c r="AC13" s="322">
        <v>5</v>
      </c>
      <c r="AD13" s="322"/>
      <c r="AE13" s="322">
        <v>0.11</v>
      </c>
      <c r="AF13" s="322">
        <v>0.12</v>
      </c>
      <c r="AG13" s="322">
        <v>0.35</v>
      </c>
      <c r="AH13" s="322"/>
      <c r="AI13" s="322">
        <v>2.17</v>
      </c>
      <c r="AJ13" s="322">
        <v>1.88</v>
      </c>
      <c r="AK13" s="322">
        <v>2.2200000000000002</v>
      </c>
      <c r="AL13" s="322"/>
      <c r="AM13" s="322">
        <v>0.46750000000000003</v>
      </c>
      <c r="AN13" s="322">
        <v>0.12479999999999999</v>
      </c>
      <c r="AO13" s="322">
        <v>5.4600000000000003E-2</v>
      </c>
      <c r="AP13" s="322"/>
      <c r="AQ13" s="322">
        <v>0.52910999999999997</v>
      </c>
      <c r="AR13" s="322">
        <v>0.18287999999999999</v>
      </c>
      <c r="AS13" s="322">
        <v>0.1232475</v>
      </c>
      <c r="AT13" s="322"/>
      <c r="AU13" s="318">
        <v>1.925E+16</v>
      </c>
      <c r="AV13" s="318">
        <v>1.35E+16</v>
      </c>
      <c r="AW13" s="318">
        <v>1.38E+16</v>
      </c>
      <c r="AX13" s="318"/>
      <c r="AY13" s="203"/>
      <c r="AZ13" s="239"/>
      <c r="BA13" s="203"/>
      <c r="BB13" s="204">
        <v>39748</v>
      </c>
      <c r="BC13" s="203" t="s">
        <v>3001</v>
      </c>
    </row>
    <row r="14" spans="1:56" s="182" customFormat="1" x14ac:dyDescent="0.2">
      <c r="A14" s="182" t="s">
        <v>740</v>
      </c>
      <c r="B14" s="182" t="s">
        <v>3022</v>
      </c>
      <c r="C14" s="182" t="s">
        <v>740</v>
      </c>
      <c r="D14" s="183" t="s">
        <v>2937</v>
      </c>
      <c r="E14" s="182" t="s">
        <v>3023</v>
      </c>
      <c r="F14" s="182" t="s">
        <v>3024</v>
      </c>
      <c r="K14" s="201"/>
      <c r="L14" s="201"/>
      <c r="M14" s="201"/>
      <c r="N14" s="201"/>
      <c r="O14" s="201"/>
      <c r="P14" s="202"/>
      <c r="Q14" s="201"/>
      <c r="R14" s="201"/>
      <c r="S14" s="201"/>
      <c r="T14" s="201"/>
      <c r="U14" s="201"/>
      <c r="V14" s="201"/>
      <c r="W14" s="322">
        <v>6.5000000000000002E-2</v>
      </c>
      <c r="X14" s="322">
        <v>6.4000000000000001E-2</v>
      </c>
      <c r="Y14" s="322">
        <v>0.03</v>
      </c>
      <c r="Z14" s="322"/>
      <c r="AA14" s="322">
        <v>8.92</v>
      </c>
      <c r="AB14" s="322">
        <v>8.3800000000000008</v>
      </c>
      <c r="AC14" s="322">
        <v>6.3</v>
      </c>
      <c r="AD14" s="322"/>
      <c r="AE14" s="322">
        <v>0.24</v>
      </c>
      <c r="AF14" s="322">
        <v>0.26</v>
      </c>
      <c r="AG14" s="322">
        <v>1</v>
      </c>
      <c r="AH14" s="322"/>
      <c r="AI14" s="322">
        <v>1.2</v>
      </c>
      <c r="AJ14" s="322">
        <v>1.78</v>
      </c>
      <c r="AK14" s="322">
        <v>16.600000000000001</v>
      </c>
      <c r="AL14" s="322"/>
      <c r="AM14" s="322">
        <v>0.52070441443885707</v>
      </c>
      <c r="AN14" s="322">
        <v>0.51371990029964321</v>
      </c>
      <c r="AO14" s="322">
        <v>0.54782783490156084</v>
      </c>
      <c r="AP14" s="322"/>
      <c r="AQ14" s="322">
        <v>0.59726441443885703</v>
      </c>
      <c r="AR14" s="322">
        <v>0.58243990029964321</v>
      </c>
      <c r="AS14" s="322">
        <v>0.65303783490156087</v>
      </c>
      <c r="AT14" s="322"/>
      <c r="AU14" s="318">
        <v>5505868667146016</v>
      </c>
      <c r="AV14" s="318">
        <v>3639025819147441.5</v>
      </c>
      <c r="AW14" s="318">
        <v>1986885329650858.3</v>
      </c>
      <c r="AX14" s="318"/>
      <c r="AY14" s="203"/>
      <c r="AZ14" s="239"/>
      <c r="BA14" s="203"/>
      <c r="BB14" s="204">
        <v>39748</v>
      </c>
      <c r="BC14" s="203" t="s">
        <v>724</v>
      </c>
    </row>
    <row r="15" spans="1:56" s="182" customFormat="1" x14ac:dyDescent="0.2">
      <c r="A15" s="182" t="s">
        <v>740</v>
      </c>
      <c r="B15" s="182" t="s">
        <v>3025</v>
      </c>
      <c r="C15" s="182" t="s">
        <v>740</v>
      </c>
      <c r="D15" s="183" t="s">
        <v>2937</v>
      </c>
      <c r="E15" s="182" t="s">
        <v>3026</v>
      </c>
      <c r="F15" s="182" t="s">
        <v>3021</v>
      </c>
      <c r="K15" s="201"/>
      <c r="L15" s="201"/>
      <c r="M15" s="201"/>
      <c r="N15" s="201"/>
      <c r="O15" s="201"/>
      <c r="P15" s="202"/>
      <c r="Q15" s="201"/>
      <c r="R15" s="201"/>
      <c r="S15" s="201"/>
      <c r="T15" s="201"/>
      <c r="U15" s="201"/>
      <c r="V15" s="201"/>
      <c r="W15" s="322">
        <v>3.6999999999999998E-2</v>
      </c>
      <c r="X15" s="322">
        <v>3.5999999999999997E-2</v>
      </c>
      <c r="Y15" s="322">
        <v>1.6E-2</v>
      </c>
      <c r="Z15" s="322"/>
      <c r="AA15" s="322">
        <v>4.5599999999999996</v>
      </c>
      <c r="AB15" s="322">
        <v>4.46</v>
      </c>
      <c r="AC15" s="322">
        <v>4.7</v>
      </c>
      <c r="AD15" s="322"/>
      <c r="AE15" s="322">
        <v>0.39</v>
      </c>
      <c r="AF15" s="322">
        <v>0.48</v>
      </c>
      <c r="AG15" s="322">
        <v>2.39</v>
      </c>
      <c r="AH15" s="322"/>
      <c r="AI15" s="322">
        <v>8.35</v>
      </c>
      <c r="AJ15" s="322">
        <v>11.1</v>
      </c>
      <c r="AK15" s="322">
        <v>30.8</v>
      </c>
      <c r="AL15" s="322"/>
      <c r="AM15" s="322">
        <v>0.29920000000000002</v>
      </c>
      <c r="AN15" s="322">
        <v>0.56279999999999997</v>
      </c>
      <c r="AO15" s="322">
        <v>1.0444</v>
      </c>
      <c r="AP15" s="322"/>
      <c r="AQ15" s="322">
        <v>0.39301000000000003</v>
      </c>
      <c r="AR15" s="322">
        <v>0.64824000000000004</v>
      </c>
      <c r="AS15" s="322">
        <v>1.2277975000000001</v>
      </c>
      <c r="AT15" s="322"/>
      <c r="AU15" s="318">
        <v>5750000000000000</v>
      </c>
      <c r="AV15" s="318">
        <v>9900000000000000</v>
      </c>
      <c r="AW15" s="318">
        <v>2.82E+16</v>
      </c>
      <c r="AX15" s="318"/>
      <c r="AY15" s="203"/>
      <c r="AZ15" s="239"/>
      <c r="BA15" s="203"/>
      <c r="BB15" s="204">
        <v>39748</v>
      </c>
      <c r="BC15" s="203" t="s">
        <v>3027</v>
      </c>
    </row>
    <row r="16" spans="1:56" s="182" customFormat="1" x14ac:dyDescent="0.2">
      <c r="A16" s="182" t="s">
        <v>740</v>
      </c>
      <c r="B16" s="182" t="s">
        <v>3028</v>
      </c>
      <c r="C16" s="182" t="s">
        <v>740</v>
      </c>
      <c r="D16" s="183" t="s">
        <v>2937</v>
      </c>
      <c r="E16" s="182" t="s">
        <v>3029</v>
      </c>
      <c r="F16" s="182" t="s">
        <v>3030</v>
      </c>
      <c r="K16" s="201"/>
      <c r="L16" s="201"/>
      <c r="M16" s="201"/>
      <c r="N16" s="201"/>
      <c r="O16" s="201"/>
      <c r="P16" s="202"/>
      <c r="Q16" s="201"/>
      <c r="R16" s="201"/>
      <c r="S16" s="201"/>
      <c r="T16" s="201"/>
      <c r="U16" s="201"/>
      <c r="V16" s="201"/>
      <c r="W16" s="322">
        <v>3.5000000000000003E-2</v>
      </c>
      <c r="X16" s="322">
        <v>3.4000000000000002E-2</v>
      </c>
      <c r="Y16" s="322">
        <v>1.6E-2</v>
      </c>
      <c r="Z16" s="322"/>
      <c r="AA16" s="322">
        <v>4.5599999999999996</v>
      </c>
      <c r="AB16" s="322">
        <v>4.46</v>
      </c>
      <c r="AC16" s="322">
        <v>4.7</v>
      </c>
      <c r="AD16" s="322"/>
      <c r="AE16" s="322">
        <v>0.39</v>
      </c>
      <c r="AF16" s="322">
        <v>0.48</v>
      </c>
      <c r="AG16" s="322">
        <v>2.39</v>
      </c>
      <c r="AH16" s="322"/>
      <c r="AI16" s="322">
        <v>8.35</v>
      </c>
      <c r="AJ16" s="322">
        <v>11.1</v>
      </c>
      <c r="AK16" s="322">
        <v>30.8</v>
      </c>
      <c r="AL16" s="322"/>
      <c r="AM16" s="322">
        <v>0.29920000000000002</v>
      </c>
      <c r="AN16" s="322">
        <v>0.56279999999999997</v>
      </c>
      <c r="AO16" s="322">
        <v>1.0444</v>
      </c>
      <c r="AP16" s="322"/>
      <c r="AQ16" s="322">
        <v>0.39301000000000003</v>
      </c>
      <c r="AR16" s="322">
        <v>0.64824000000000004</v>
      </c>
      <c r="AS16" s="322">
        <v>1.2277975000000001</v>
      </c>
      <c r="AT16" s="322"/>
      <c r="AU16" s="318">
        <v>5750000000000000</v>
      </c>
      <c r="AV16" s="318">
        <v>9900000000000000</v>
      </c>
      <c r="AW16" s="318">
        <v>2.82E+16</v>
      </c>
      <c r="AX16" s="318"/>
      <c r="AY16" s="203"/>
      <c r="AZ16" s="239"/>
      <c r="BA16" s="203"/>
      <c r="BB16" s="204">
        <v>39748</v>
      </c>
      <c r="BC16" s="203" t="s">
        <v>3027</v>
      </c>
    </row>
    <row r="17" spans="1:55" s="182" customFormat="1" x14ac:dyDescent="0.2">
      <c r="A17" s="182" t="s">
        <v>740</v>
      </c>
      <c r="B17" s="182" t="s">
        <v>3031</v>
      </c>
      <c r="C17" s="182" t="s">
        <v>740</v>
      </c>
      <c r="D17" s="183" t="s">
        <v>2937</v>
      </c>
      <c r="E17" s="182" t="s">
        <v>3032</v>
      </c>
      <c r="F17" s="182" t="s">
        <v>3033</v>
      </c>
      <c r="K17" s="201"/>
      <c r="L17" s="201"/>
      <c r="M17" s="201"/>
      <c r="N17" s="201"/>
      <c r="O17" s="201"/>
      <c r="P17" s="202"/>
      <c r="Q17" s="201"/>
      <c r="R17" s="201"/>
      <c r="S17" s="201"/>
      <c r="T17" s="201"/>
      <c r="U17" s="201"/>
      <c r="V17" s="201"/>
      <c r="W17" s="322">
        <v>3.4000000000000002E-2</v>
      </c>
      <c r="X17" s="322">
        <v>3.5000000000000003E-2</v>
      </c>
      <c r="Y17" s="322">
        <v>1.4999999999999999E-2</v>
      </c>
      <c r="Z17" s="322"/>
      <c r="AA17" s="322">
        <v>4.5599999999999996</v>
      </c>
      <c r="AB17" s="322">
        <v>4.46</v>
      </c>
      <c r="AC17" s="322">
        <v>4.7</v>
      </c>
      <c r="AD17" s="322"/>
      <c r="AE17" s="322">
        <v>0.39</v>
      </c>
      <c r="AF17" s="322">
        <v>0.48</v>
      </c>
      <c r="AG17" s="322">
        <v>2.39</v>
      </c>
      <c r="AH17" s="322"/>
      <c r="AI17" s="322">
        <v>8.35</v>
      </c>
      <c r="AJ17" s="322">
        <v>11.1</v>
      </c>
      <c r="AK17" s="322">
        <v>30.8</v>
      </c>
      <c r="AL17" s="322"/>
      <c r="AM17" s="322">
        <v>0.29920000000000002</v>
      </c>
      <c r="AN17" s="322">
        <v>0.56279999999999997</v>
      </c>
      <c r="AO17" s="322">
        <v>1.0444</v>
      </c>
      <c r="AP17" s="322"/>
      <c r="AQ17" s="322">
        <v>0.39301000000000003</v>
      </c>
      <c r="AR17" s="322">
        <v>0.64824000000000004</v>
      </c>
      <c r="AS17" s="322">
        <v>1.2277975000000001</v>
      </c>
      <c r="AT17" s="322"/>
      <c r="AU17" s="318">
        <v>5750000000000000</v>
      </c>
      <c r="AV17" s="318">
        <v>9900000000000000</v>
      </c>
      <c r="AW17" s="318">
        <v>2.82E+16</v>
      </c>
      <c r="AX17" s="318"/>
      <c r="AY17" s="203"/>
      <c r="AZ17" s="239"/>
      <c r="BA17" s="203"/>
      <c r="BB17" s="204">
        <v>39748</v>
      </c>
      <c r="BC17" s="203" t="s">
        <v>3027</v>
      </c>
    </row>
    <row r="18" spans="1:55" s="182" customFormat="1" x14ac:dyDescent="0.2">
      <c r="A18" s="182" t="s">
        <v>740</v>
      </c>
      <c r="B18" s="182" t="s">
        <v>3034</v>
      </c>
      <c r="C18" s="182" t="s">
        <v>740</v>
      </c>
      <c r="D18" s="183" t="s">
        <v>2937</v>
      </c>
      <c r="E18" s="182" t="s">
        <v>3035</v>
      </c>
      <c r="F18" s="182" t="s">
        <v>3036</v>
      </c>
      <c r="K18" s="201"/>
      <c r="L18" s="201"/>
      <c r="M18" s="201"/>
      <c r="N18" s="201"/>
      <c r="O18" s="201"/>
      <c r="P18" s="202"/>
      <c r="Q18" s="201"/>
      <c r="R18" s="201"/>
      <c r="S18" s="201"/>
      <c r="T18" s="201"/>
      <c r="U18" s="201"/>
      <c r="V18" s="201"/>
      <c r="W18" s="322">
        <v>3.3000000000000002E-2</v>
      </c>
      <c r="X18" s="322">
        <v>2.9000000000000001E-2</v>
      </c>
      <c r="Y18" s="322">
        <v>2.1000000000000001E-2</v>
      </c>
      <c r="Z18" s="322"/>
      <c r="AA18" s="322">
        <v>6.82</v>
      </c>
      <c r="AB18" s="322">
        <v>7.36</v>
      </c>
      <c r="AC18" s="322">
        <v>3.61</v>
      </c>
      <c r="AD18" s="322"/>
      <c r="AE18" s="322">
        <v>0.45</v>
      </c>
      <c r="AF18" s="322">
        <v>0.22</v>
      </c>
      <c r="AG18" s="322">
        <v>17.5</v>
      </c>
      <c r="AH18" s="322"/>
      <c r="AI18" s="322">
        <v>5.86</v>
      </c>
      <c r="AJ18" s="322">
        <v>6.03</v>
      </c>
      <c r="AK18" s="322">
        <v>56.9</v>
      </c>
      <c r="AL18" s="322"/>
      <c r="AM18" s="322">
        <v>7.9687694028490932E-3</v>
      </c>
      <c r="AN18" s="322">
        <v>6.434671636300994E-2</v>
      </c>
      <c r="AO18" s="322">
        <v>1.1820724479370512E-2</v>
      </c>
      <c r="AP18" s="322"/>
      <c r="AQ18" s="322">
        <v>0.1086787694028491</v>
      </c>
      <c r="AR18" s="322">
        <v>0.13002671636300994</v>
      </c>
      <c r="AS18" s="322">
        <v>1.0451557244793706</v>
      </c>
      <c r="AT18" s="322"/>
      <c r="AU18" s="318">
        <v>84260852326633.5</v>
      </c>
      <c r="AV18" s="318">
        <v>455811351839338</v>
      </c>
      <c r="AW18" s="318">
        <v>42871907116815.859</v>
      </c>
      <c r="AX18" s="318"/>
      <c r="AY18" s="203"/>
      <c r="AZ18" s="239"/>
      <c r="BA18" s="203"/>
      <c r="BB18" s="204">
        <v>39748</v>
      </c>
      <c r="BC18" s="203" t="s">
        <v>724</v>
      </c>
    </row>
    <row r="19" spans="1:55" s="182" customFormat="1" x14ac:dyDescent="0.2">
      <c r="A19" s="182" t="s">
        <v>740</v>
      </c>
      <c r="B19" s="182" t="s">
        <v>3037</v>
      </c>
      <c r="C19" s="182" t="s">
        <v>740</v>
      </c>
      <c r="D19" s="183" t="s">
        <v>2937</v>
      </c>
      <c r="E19" s="182" t="s">
        <v>3038</v>
      </c>
      <c r="F19" s="182" t="s">
        <v>3039</v>
      </c>
      <c r="K19" s="201"/>
      <c r="L19" s="201"/>
      <c r="M19" s="201"/>
      <c r="N19" s="201"/>
      <c r="O19" s="201"/>
      <c r="P19" s="202"/>
      <c r="Q19" s="201"/>
      <c r="R19" s="201"/>
      <c r="S19" s="201"/>
      <c r="T19" s="201"/>
      <c r="U19" s="201"/>
      <c r="V19" s="201"/>
      <c r="W19" s="322">
        <v>3.5000000000000003E-2</v>
      </c>
      <c r="X19" s="322">
        <v>3.3000000000000002E-2</v>
      </c>
      <c r="Y19" s="322">
        <v>2.1999999999999999E-2</v>
      </c>
      <c r="Z19" s="322"/>
      <c r="AA19" s="322">
        <v>6.82</v>
      </c>
      <c r="AB19" s="322">
        <v>7.36</v>
      </c>
      <c r="AC19" s="322">
        <v>3.61</v>
      </c>
      <c r="AD19" s="322"/>
      <c r="AE19" s="322">
        <v>0.45</v>
      </c>
      <c r="AF19" s="322">
        <v>0.22</v>
      </c>
      <c r="AG19" s="322">
        <v>17.5</v>
      </c>
      <c r="AH19" s="322"/>
      <c r="AI19" s="322">
        <v>5.86</v>
      </c>
      <c r="AJ19" s="322">
        <v>6.03</v>
      </c>
      <c r="AK19" s="322">
        <v>56.9</v>
      </c>
      <c r="AL19" s="322"/>
      <c r="AM19" s="322">
        <v>7.9687694028490932E-3</v>
      </c>
      <c r="AN19" s="322">
        <v>6.434671636300994E-2</v>
      </c>
      <c r="AO19" s="322">
        <v>1.1820724479370512E-2</v>
      </c>
      <c r="AP19" s="322"/>
      <c r="AQ19" s="322">
        <v>0.1086787694028491</v>
      </c>
      <c r="AR19" s="322">
        <v>0.13002671636300994</v>
      </c>
      <c r="AS19" s="322">
        <v>1.0451557244793706</v>
      </c>
      <c r="AT19" s="322"/>
      <c r="AU19" s="318">
        <v>84260852326633.5</v>
      </c>
      <c r="AV19" s="318">
        <v>455811351839338</v>
      </c>
      <c r="AW19" s="318">
        <v>42871907116815.859</v>
      </c>
      <c r="AX19" s="318"/>
      <c r="AY19" s="203"/>
      <c r="AZ19" s="239"/>
      <c r="BA19" s="203"/>
      <c r="BB19" s="204">
        <v>39748</v>
      </c>
      <c r="BC19" s="203" t="s">
        <v>724</v>
      </c>
    </row>
    <row r="20" spans="1:55" s="182" customFormat="1" x14ac:dyDescent="0.2">
      <c r="A20" s="182" t="s">
        <v>740</v>
      </c>
      <c r="B20" s="182" t="s">
        <v>3040</v>
      </c>
      <c r="C20" s="182" t="s">
        <v>740</v>
      </c>
      <c r="D20" s="183" t="s">
        <v>2937</v>
      </c>
      <c r="E20" s="182" t="s">
        <v>3041</v>
      </c>
      <c r="F20" s="182" t="s">
        <v>3042</v>
      </c>
      <c r="K20" s="201"/>
      <c r="L20" s="201"/>
      <c r="M20" s="201"/>
      <c r="N20" s="201"/>
      <c r="O20" s="201"/>
      <c r="P20" s="202"/>
      <c r="Q20" s="201"/>
      <c r="R20" s="201"/>
      <c r="S20" s="201"/>
      <c r="T20" s="201"/>
      <c r="U20" s="201"/>
      <c r="V20" s="201"/>
      <c r="W20" s="322">
        <v>3.4000000000000002E-2</v>
      </c>
      <c r="X20" s="322">
        <v>3.1E-2</v>
      </c>
      <c r="Y20" s="322">
        <v>2.1000000000000001E-2</v>
      </c>
      <c r="Z20" s="322"/>
      <c r="AA20" s="322">
        <v>6.82</v>
      </c>
      <c r="AB20" s="322">
        <v>7.36</v>
      </c>
      <c r="AC20" s="322">
        <v>3.61</v>
      </c>
      <c r="AD20" s="322"/>
      <c r="AE20" s="322">
        <v>0.45</v>
      </c>
      <c r="AF20" s="322">
        <v>0.22</v>
      </c>
      <c r="AG20" s="322">
        <v>17.5</v>
      </c>
      <c r="AH20" s="322"/>
      <c r="AI20" s="322">
        <v>5.86</v>
      </c>
      <c r="AJ20" s="322">
        <v>6.03</v>
      </c>
      <c r="AK20" s="322">
        <v>56.9</v>
      </c>
      <c r="AL20" s="322"/>
      <c r="AM20" s="322">
        <v>7.9687694028490932E-3</v>
      </c>
      <c r="AN20" s="322">
        <v>6.434671636300994E-2</v>
      </c>
      <c r="AO20" s="322">
        <v>1.1820724479370512E-2</v>
      </c>
      <c r="AP20" s="322"/>
      <c r="AQ20" s="322">
        <v>0.1086787694028491</v>
      </c>
      <c r="AR20" s="322">
        <v>0.13002671636300994</v>
      </c>
      <c r="AS20" s="322">
        <v>1.0451557244793706</v>
      </c>
      <c r="AT20" s="322"/>
      <c r="AU20" s="318">
        <v>84260852326633.5</v>
      </c>
      <c r="AV20" s="318">
        <v>455811351839338</v>
      </c>
      <c r="AW20" s="318">
        <v>42871907116815.859</v>
      </c>
      <c r="AX20" s="318"/>
      <c r="AY20" s="203"/>
      <c r="AZ20" s="239"/>
      <c r="BA20" s="203"/>
      <c r="BB20" s="204">
        <v>39748</v>
      </c>
      <c r="BC20" s="203" t="s">
        <v>724</v>
      </c>
    </row>
    <row r="21" spans="1:55" s="182" customFormat="1" x14ac:dyDescent="0.2">
      <c r="A21" s="182" t="s">
        <v>3043</v>
      </c>
      <c r="B21" s="182" t="s">
        <v>3044</v>
      </c>
      <c r="C21" s="182" t="s">
        <v>3045</v>
      </c>
      <c r="D21" s="183" t="s">
        <v>2937</v>
      </c>
      <c r="E21" s="182" t="s">
        <v>3046</v>
      </c>
      <c r="F21" s="182" t="s">
        <v>3047</v>
      </c>
      <c r="K21" s="201"/>
      <c r="L21" s="201"/>
      <c r="M21" s="201"/>
      <c r="N21" s="201"/>
      <c r="O21" s="201"/>
      <c r="P21" s="202"/>
      <c r="Q21" s="201"/>
      <c r="R21" s="201"/>
      <c r="S21" s="201"/>
      <c r="T21" s="201"/>
      <c r="U21" s="201"/>
      <c r="V21" s="201"/>
      <c r="W21" s="322">
        <v>5.7000000000000002E-2</v>
      </c>
      <c r="X21" s="322">
        <v>5.2999999999999999E-2</v>
      </c>
      <c r="Y21" s="322">
        <v>3.2000000000000001E-2</v>
      </c>
      <c r="Z21" s="322"/>
      <c r="AA21" s="322">
        <v>9.0399999999999991</v>
      </c>
      <c r="AB21" s="322">
        <v>9</v>
      </c>
      <c r="AC21" s="322">
        <v>8.23</v>
      </c>
      <c r="AD21" s="322"/>
      <c r="AE21" s="322">
        <v>7.0000000000000007E-2</v>
      </c>
      <c r="AF21" s="322">
        <v>0.04</v>
      </c>
      <c r="AG21" s="322">
        <v>0.88</v>
      </c>
      <c r="AH21" s="322"/>
      <c r="AI21" s="322">
        <v>0.63</v>
      </c>
      <c r="AJ21" s="322">
        <v>1.36</v>
      </c>
      <c r="AK21" s="322">
        <v>15.39</v>
      </c>
      <c r="AL21" s="322"/>
      <c r="AM21" s="322">
        <v>0.10533950168322478</v>
      </c>
      <c r="AN21" s="322">
        <v>0.21331745300455202</v>
      </c>
      <c r="AO21" s="322">
        <v>0.21001199223667752</v>
      </c>
      <c r="AP21" s="322"/>
      <c r="AQ21" s="322">
        <v>0.16234950168322482</v>
      </c>
      <c r="AR21" s="322">
        <v>0.26531745300455201</v>
      </c>
      <c r="AS21" s="322">
        <v>0.30847199223667754</v>
      </c>
      <c r="AT21" s="322"/>
      <c r="AU21" s="318">
        <v>1113847790892017.8</v>
      </c>
      <c r="AV21" s="318">
        <v>1511071925976691.3</v>
      </c>
      <c r="AW21" s="318">
        <v>761680440171105.5</v>
      </c>
      <c r="AX21" s="318"/>
      <c r="AY21" s="203"/>
      <c r="AZ21" s="239"/>
      <c r="BA21" s="203">
        <v>2008</v>
      </c>
      <c r="BB21" s="204">
        <v>39847</v>
      </c>
      <c r="BC21" s="203" t="s">
        <v>3048</v>
      </c>
    </row>
    <row r="22" spans="1:55" x14ac:dyDescent="0.2">
      <c r="A22" s="184" t="s">
        <v>710</v>
      </c>
      <c r="B22" s="184" t="s">
        <v>710</v>
      </c>
      <c r="C22" s="184" t="s">
        <v>715</v>
      </c>
      <c r="D22" s="185" t="s">
        <v>712</v>
      </c>
      <c r="E22" s="184" t="s">
        <v>713</v>
      </c>
      <c r="F22" s="184" t="s">
        <v>714</v>
      </c>
      <c r="G22" s="186">
        <f>IF(ALECA_Input!$F$13="ICAO (3000ft)",'Aircraft Calc'!C$215,'Aircraft Calc'!G$215)</f>
        <v>0.4</v>
      </c>
      <c r="H22" s="186">
        <f>IF(ALECA_Input!$F$13="ICAO (3000ft)",'Aircraft Calc'!D$215,'Aircraft Calc'!H$215)</f>
        <v>0.5</v>
      </c>
      <c r="I22" s="186">
        <f>IF(ALECA_Input!$F$13="ICAO (3000ft)",'Aircraft Calc'!E$215,'Aircraft Calc'!I$215)</f>
        <v>1.6</v>
      </c>
      <c r="J22" s="186">
        <v>1</v>
      </c>
      <c r="K22" s="187">
        <f t="shared" ref="K22:K85" si="1">(G22*W22*60+H22*X22*60+I22*Y22*60)</f>
        <v>12.168000000000001</v>
      </c>
      <c r="L22" s="187">
        <f t="shared" ref="L22:L85" si="2">(G22*W22*60*AA22+H22*X22*60*AB22+I22*Y22*60*AC22)/1000</f>
        <v>6.9021840000000001E-2</v>
      </c>
      <c r="M22" s="187">
        <f t="shared" ref="M22:M85" si="3">(G22*W22*60*AE22+H22*X22*60*AF22+I22*Y22*60*AG22)/1000</f>
        <v>2.1757104000000006E-2</v>
      </c>
      <c r="N22" s="187">
        <f t="shared" ref="N22:N85" si="4">(G22*W22*60*AI22+H22*X22*60*AJ22+I22*Y22*60*AK22)/1000</f>
        <v>0.22076976000000001</v>
      </c>
      <c r="O22" s="187">
        <f t="shared" ref="O22:O85" si="5">(G22*W22*60*AQ22+H22*X22*60*AR22+I22*Y22*60*AS22)/1000</f>
        <v>4.7855398800000001E-3</v>
      </c>
      <c r="P22" s="188">
        <f t="shared" ref="P22:P85" si="6">(G22*W22*60*AU22+H22*X22*60*AV22+I22*Y22*60*AW22)</f>
        <v>6.9288983143279856E+16</v>
      </c>
      <c r="Q22" s="187">
        <f t="shared" ref="Q22:Q85" si="7">J22*Z22*60*1000</f>
        <v>1380</v>
      </c>
      <c r="R22" s="219">
        <f t="shared" ref="R22:R85" si="8">J22*Z22*60*AD22</f>
        <v>2.4177599999999999</v>
      </c>
      <c r="S22" s="219">
        <f t="shared" ref="S22:S85" si="9">J22*Z22*60*AH22</f>
        <v>69.69</v>
      </c>
      <c r="T22" s="219">
        <f t="shared" ref="T22:T85" si="10">J22*Z22*60*AL22</f>
        <v>182.16</v>
      </c>
      <c r="U22" s="219">
        <f t="shared" ref="U22:U85" si="11">J22*Z22*60*AT22</f>
        <v>0.64245209999999997</v>
      </c>
      <c r="V22" s="188">
        <f t="shared" ref="V22:V85" si="12">J22*Z22*60*AX22</f>
        <v>8211398326393853</v>
      </c>
      <c r="W22" s="323">
        <v>0.14799999999999999</v>
      </c>
      <c r="X22" s="323">
        <v>0.124</v>
      </c>
      <c r="Y22" s="323">
        <v>5.0999999999999997E-2</v>
      </c>
      <c r="Z22" s="323">
        <v>2.3E-2</v>
      </c>
      <c r="AA22" s="323">
        <v>7.6000000000000005</v>
      </c>
      <c r="AB22" s="323">
        <v>6.7700000000000005</v>
      </c>
      <c r="AC22" s="323">
        <v>3.44</v>
      </c>
      <c r="AD22" s="323">
        <v>1.752</v>
      </c>
      <c r="AE22" s="323">
        <v>0.01</v>
      </c>
      <c r="AF22" s="323">
        <v>0.01</v>
      </c>
      <c r="AG22" s="323">
        <v>4.4290000000000003</v>
      </c>
      <c r="AH22" s="323">
        <v>50.5</v>
      </c>
      <c r="AI22" s="323">
        <v>2.65</v>
      </c>
      <c r="AJ22" s="323">
        <v>3.5</v>
      </c>
      <c r="AK22" s="323">
        <v>40.51</v>
      </c>
      <c r="AL22" s="323">
        <v>132</v>
      </c>
      <c r="AM22" s="323">
        <v>0.27500000000000002</v>
      </c>
      <c r="AN22" s="323">
        <v>0.27600000000000002</v>
      </c>
      <c r="AO22" s="323">
        <v>0.19600000000000001</v>
      </c>
      <c r="AP22" s="323">
        <v>0.105</v>
      </c>
      <c r="AQ22" s="323">
        <v>0.32511000000000001</v>
      </c>
      <c r="AR22" s="323">
        <v>0.32572000000000001</v>
      </c>
      <c r="AS22" s="323">
        <v>0.49409124999999998</v>
      </c>
      <c r="AT22" s="323">
        <v>0.46554499999999999</v>
      </c>
      <c r="AU22" s="190">
        <v>1808922018113445</v>
      </c>
      <c r="AV22" s="190">
        <v>2280326391156248.5</v>
      </c>
      <c r="AW22" s="190">
        <v>1.1107205465653522E+16</v>
      </c>
      <c r="AX22" s="190">
        <v>5950288642314387</v>
      </c>
      <c r="AY22" s="203">
        <v>0.5</v>
      </c>
      <c r="AZ22" s="239">
        <v>9.7900000000000009</v>
      </c>
      <c r="BB22" s="204">
        <v>35684</v>
      </c>
      <c r="BC22" s="203" t="s">
        <v>3049</v>
      </c>
    </row>
    <row r="23" spans="1:55" x14ac:dyDescent="0.2">
      <c r="A23" s="184" t="s">
        <v>717</v>
      </c>
      <c r="B23" s="184" t="s">
        <v>717</v>
      </c>
      <c r="C23" s="184" t="s">
        <v>715</v>
      </c>
      <c r="D23" s="185" t="s">
        <v>712</v>
      </c>
      <c r="E23" s="184" t="s">
        <v>718</v>
      </c>
      <c r="F23" s="184" t="s">
        <v>719</v>
      </c>
      <c r="G23" s="186">
        <f>IF(ALECA_Input!$F$13="ICAO (3000ft)",'Aircraft Calc'!C$215,'Aircraft Calc'!G$215)</f>
        <v>0.4</v>
      </c>
      <c r="H23" s="186">
        <f>IF(ALECA_Input!$F$13="ICAO (3000ft)",'Aircraft Calc'!D$215,'Aircraft Calc'!H$215)</f>
        <v>0.5</v>
      </c>
      <c r="I23" s="186">
        <f>IF(ALECA_Input!$F$13="ICAO (3000ft)",'Aircraft Calc'!E$215,'Aircraft Calc'!I$215)</f>
        <v>1.6</v>
      </c>
      <c r="J23" s="186">
        <v>1</v>
      </c>
      <c r="K23" s="187">
        <f t="shared" si="1"/>
        <v>20.783999999999999</v>
      </c>
      <c r="L23" s="187">
        <f t="shared" si="2"/>
        <v>0.2797944</v>
      </c>
      <c r="M23" s="187">
        <f t="shared" si="3"/>
        <v>4.6056000000000005E-3</v>
      </c>
      <c r="N23" s="187">
        <f t="shared" si="4"/>
        <v>7.0414080000000018E-2</v>
      </c>
      <c r="O23" s="187">
        <f t="shared" si="5"/>
        <v>8.5241126399999995E-3</v>
      </c>
      <c r="P23" s="188">
        <f t="shared" si="6"/>
        <v>1.6495883647477862E+17</v>
      </c>
      <c r="Q23" s="187">
        <f t="shared" si="7"/>
        <v>1740</v>
      </c>
      <c r="R23" s="219">
        <f t="shared" si="8"/>
        <v>6.0378000000000007</v>
      </c>
      <c r="S23" s="219">
        <f t="shared" si="9"/>
        <v>16.7562</v>
      </c>
      <c r="T23" s="219">
        <f t="shared" si="10"/>
        <v>67.720799999999997</v>
      </c>
      <c r="U23" s="219">
        <f t="shared" si="11"/>
        <v>0.44957615400000006</v>
      </c>
      <c r="V23" s="188">
        <f t="shared" si="12"/>
        <v>1.4790717482324334E+16</v>
      </c>
      <c r="W23" s="323">
        <v>0.26</v>
      </c>
      <c r="X23" s="323">
        <v>0.216</v>
      </c>
      <c r="Y23" s="323">
        <v>8.4000000000000005E-2</v>
      </c>
      <c r="Z23" s="323">
        <v>2.9000000000000001E-2</v>
      </c>
      <c r="AA23" s="323">
        <v>20</v>
      </c>
      <c r="AB23" s="323">
        <v>15.83</v>
      </c>
      <c r="AC23" s="323">
        <v>6.5</v>
      </c>
      <c r="AD23" s="323">
        <v>3.47</v>
      </c>
      <c r="AE23" s="323">
        <v>0.04</v>
      </c>
      <c r="AF23" s="323">
        <v>0.05</v>
      </c>
      <c r="AG23" s="323">
        <v>0.5</v>
      </c>
      <c r="AH23" s="323">
        <v>9.6300000000000008</v>
      </c>
      <c r="AI23" s="323">
        <v>0.83</v>
      </c>
      <c r="AJ23" s="323">
        <v>1.02</v>
      </c>
      <c r="AK23" s="323">
        <v>7.27</v>
      </c>
      <c r="AL23" s="323">
        <v>38.92</v>
      </c>
      <c r="AM23" s="323">
        <v>0.38500000000000001</v>
      </c>
      <c r="AN23" s="323">
        <v>0.39600000000000002</v>
      </c>
      <c r="AO23" s="323">
        <v>0.28000000000000003</v>
      </c>
      <c r="AP23" s="323">
        <v>0.15</v>
      </c>
      <c r="AQ23" s="323">
        <v>0.43856000000000001</v>
      </c>
      <c r="AR23" s="323">
        <v>0.44875999999999999</v>
      </c>
      <c r="AS23" s="323">
        <v>0.35708499999999999</v>
      </c>
      <c r="AT23" s="323">
        <v>0.25837710000000003</v>
      </c>
      <c r="AU23" s="190">
        <v>2532490825358823</v>
      </c>
      <c r="AV23" s="190">
        <v>3271772648180704.5</v>
      </c>
      <c r="AW23" s="190">
        <v>1.5867436379505032E+16</v>
      </c>
      <c r="AX23" s="190">
        <v>8500412346163410</v>
      </c>
      <c r="AY23" s="203">
        <v>1</v>
      </c>
      <c r="AZ23" s="239">
        <v>20.149999999999999</v>
      </c>
      <c r="BB23" s="204">
        <v>38260</v>
      </c>
      <c r="BC23" s="203" t="s">
        <v>3050</v>
      </c>
    </row>
    <row r="24" spans="1:55" x14ac:dyDescent="0.2">
      <c r="A24" s="184" t="s">
        <v>720</v>
      </c>
      <c r="B24" s="184" t="s">
        <v>720</v>
      </c>
      <c r="C24" s="184" t="s">
        <v>723</v>
      </c>
      <c r="D24" s="185" t="s">
        <v>712</v>
      </c>
      <c r="E24" s="184" t="s">
        <v>721</v>
      </c>
      <c r="F24" s="184" t="s">
        <v>722</v>
      </c>
      <c r="G24" s="186">
        <f>IF(ALECA_Input!$F$13="ICAO (3000ft)",'Aircraft Calc'!C$215,'Aircraft Calc'!G$215)</f>
        <v>0.4</v>
      </c>
      <c r="H24" s="186">
        <f>IF(ALECA_Input!$F$13="ICAO (3000ft)",'Aircraft Calc'!D$215,'Aircraft Calc'!H$215)</f>
        <v>0.5</v>
      </c>
      <c r="I24" s="186">
        <f>IF(ALECA_Input!$F$13="ICAO (3000ft)",'Aircraft Calc'!E$215,'Aircraft Calc'!I$215)</f>
        <v>1.6</v>
      </c>
      <c r="J24" s="186">
        <v>1</v>
      </c>
      <c r="K24" s="187">
        <f t="shared" si="1"/>
        <v>15.0402</v>
      </c>
      <c r="L24" s="187">
        <f t="shared" si="2"/>
        <v>0.106804326</v>
      </c>
      <c r="M24" s="187">
        <f t="shared" si="3"/>
        <v>3.6711917999999996E-2</v>
      </c>
      <c r="N24" s="187">
        <f t="shared" si="4"/>
        <v>0.24155390399999999</v>
      </c>
      <c r="O24" s="187">
        <f t="shared" si="5"/>
        <v>7.2591408719999998E-3</v>
      </c>
      <c r="P24" s="188">
        <f t="shared" si="6"/>
        <v>9.9519700727012E+16</v>
      </c>
      <c r="Q24" s="187">
        <f t="shared" si="7"/>
        <v>1794</v>
      </c>
      <c r="R24" s="219">
        <f t="shared" si="8"/>
        <v>2.6371799999999999</v>
      </c>
      <c r="S24" s="219">
        <f t="shared" si="9"/>
        <v>125.09562000000001</v>
      </c>
      <c r="T24" s="219">
        <f t="shared" si="10"/>
        <v>194.70282</v>
      </c>
      <c r="U24" s="219">
        <f t="shared" si="11"/>
        <v>1.0749542154</v>
      </c>
      <c r="V24" s="188">
        <f t="shared" si="12"/>
        <v>1.2199791799213726E+16</v>
      </c>
      <c r="W24" s="323">
        <v>0.17849999999999999</v>
      </c>
      <c r="X24" s="323">
        <v>0.15310000000000001</v>
      </c>
      <c r="Y24" s="323">
        <v>6.4199999999999993E-2</v>
      </c>
      <c r="Z24" s="323">
        <v>2.9899999999999999E-2</v>
      </c>
      <c r="AA24" s="323">
        <v>11.04</v>
      </c>
      <c r="AB24" s="323">
        <v>7.75</v>
      </c>
      <c r="AC24" s="323">
        <v>3.88</v>
      </c>
      <c r="AD24" s="323">
        <v>1.47</v>
      </c>
      <c r="AE24" s="323">
        <v>0.7</v>
      </c>
      <c r="AF24" s="323">
        <v>0.51</v>
      </c>
      <c r="AG24" s="323">
        <v>5.09</v>
      </c>
      <c r="AH24" s="323">
        <v>69.73</v>
      </c>
      <c r="AI24" s="323">
        <v>9.07</v>
      </c>
      <c r="AJ24" s="323">
        <v>4.5199999999999996</v>
      </c>
      <c r="AK24" s="323">
        <v>29.52</v>
      </c>
      <c r="AL24" s="323">
        <v>108.53</v>
      </c>
      <c r="AM24" s="323">
        <v>0.31900000000000001</v>
      </c>
      <c r="AN24" s="323">
        <v>0.32400000000000001</v>
      </c>
      <c r="AO24" s="323">
        <v>0.224</v>
      </c>
      <c r="AP24" s="323">
        <v>0.12</v>
      </c>
      <c r="AQ24" s="323">
        <v>0.44846000000000003</v>
      </c>
      <c r="AR24" s="323">
        <v>0.41171999999999997</v>
      </c>
      <c r="AS24" s="323">
        <v>0.55927249999999995</v>
      </c>
      <c r="AT24" s="323">
        <v>0.59919409999999995</v>
      </c>
      <c r="AU24" s="190">
        <v>2098349541011596</v>
      </c>
      <c r="AV24" s="190">
        <v>2676904893966031</v>
      </c>
      <c r="AW24" s="190">
        <v>1.2693949103604026E+16</v>
      </c>
      <c r="AX24" s="190">
        <v>6800329876930728</v>
      </c>
      <c r="AY24" s="203">
        <v>0.4</v>
      </c>
      <c r="AZ24" s="239">
        <v>13.22</v>
      </c>
      <c r="BA24" s="203">
        <v>1995</v>
      </c>
      <c r="BB24" s="204">
        <v>38817</v>
      </c>
      <c r="BC24" s="203" t="s">
        <v>3051</v>
      </c>
    </row>
    <row r="25" spans="1:55" x14ac:dyDescent="0.2">
      <c r="A25" s="184" t="s">
        <v>725</v>
      </c>
      <c r="B25" s="184" t="s">
        <v>725</v>
      </c>
      <c r="C25" s="184" t="s">
        <v>723</v>
      </c>
      <c r="D25" s="185" t="s">
        <v>712</v>
      </c>
      <c r="E25" s="184" t="s">
        <v>264</v>
      </c>
      <c r="F25" s="184" t="s">
        <v>264</v>
      </c>
      <c r="G25" s="186">
        <f>IF(ALECA_Input!$F$13="ICAO (3000ft)",'Aircraft Calc'!C$215,'Aircraft Calc'!G$215)</f>
        <v>0.4</v>
      </c>
      <c r="H25" s="186">
        <f>IF(ALECA_Input!$F$13="ICAO (3000ft)",'Aircraft Calc'!D$215,'Aircraft Calc'!H$215)</f>
        <v>0.5</v>
      </c>
      <c r="I25" s="186">
        <f>IF(ALECA_Input!$F$13="ICAO (3000ft)",'Aircraft Calc'!E$215,'Aircraft Calc'!I$215)</f>
        <v>1.6</v>
      </c>
      <c r="J25" s="186">
        <v>1</v>
      </c>
      <c r="K25" s="187">
        <f t="shared" si="1"/>
        <v>17.1678</v>
      </c>
      <c r="L25" s="187">
        <f t="shared" si="2"/>
        <v>9.6677544000000018E-2</v>
      </c>
      <c r="M25" s="187">
        <f t="shared" si="3"/>
        <v>6.6887466000000007E-2</v>
      </c>
      <c r="N25" s="187">
        <f t="shared" si="4"/>
        <v>0.21958955399999999</v>
      </c>
      <c r="O25" s="187">
        <f t="shared" si="5"/>
        <v>1.2544392888000001E-2</v>
      </c>
      <c r="P25" s="188">
        <f t="shared" si="6"/>
        <v>4.93328268E+17</v>
      </c>
      <c r="Q25" s="187">
        <f t="shared" si="7"/>
        <v>1872</v>
      </c>
      <c r="R25" s="219">
        <f t="shared" si="8"/>
        <v>2.0779200000000002</v>
      </c>
      <c r="S25" s="219">
        <f t="shared" si="9"/>
        <v>49.701599999999999</v>
      </c>
      <c r="T25" s="219">
        <f t="shared" si="10"/>
        <v>125.48016</v>
      </c>
      <c r="U25" s="219">
        <f t="shared" si="11"/>
        <v>0.903751992</v>
      </c>
      <c r="V25" s="188">
        <f t="shared" si="12"/>
        <v>8.373456E+16</v>
      </c>
      <c r="W25" s="323">
        <v>0.20749999999999999</v>
      </c>
      <c r="X25" s="323">
        <v>0.17649999999999999</v>
      </c>
      <c r="Y25" s="323">
        <v>7.1800000000000003E-2</v>
      </c>
      <c r="Z25" s="323">
        <v>3.1199999999999999E-2</v>
      </c>
      <c r="AA25" s="323">
        <v>7.84</v>
      </c>
      <c r="AB25" s="323">
        <v>6.68</v>
      </c>
      <c r="AC25" s="323">
        <v>3.23</v>
      </c>
      <c r="AD25" s="323">
        <v>1.1100000000000001</v>
      </c>
      <c r="AE25" s="323">
        <v>0</v>
      </c>
      <c r="AF25" s="323">
        <v>0.63</v>
      </c>
      <c r="AG25" s="323">
        <v>9.2200000000000006</v>
      </c>
      <c r="AH25" s="323">
        <v>26.55</v>
      </c>
      <c r="AI25" s="323">
        <v>2.93</v>
      </c>
      <c r="AJ25" s="323">
        <v>4.3099999999999996</v>
      </c>
      <c r="AK25" s="323">
        <v>26.43</v>
      </c>
      <c r="AL25" s="323">
        <v>67.03</v>
      </c>
      <c r="AM25" s="323">
        <v>0.45100000000000001</v>
      </c>
      <c r="AN25" s="323">
        <v>0.48</v>
      </c>
      <c r="AO25" s="323">
        <v>0.44800000000000001</v>
      </c>
      <c r="AP25" s="323">
        <v>0.27</v>
      </c>
      <c r="AQ25" s="323">
        <v>0.49996000000000002</v>
      </c>
      <c r="AR25" s="323">
        <v>0.57684000000000002</v>
      </c>
      <c r="AS25" s="323">
        <v>1.015585</v>
      </c>
      <c r="AT25" s="323">
        <v>0.48277350000000002</v>
      </c>
      <c r="AU25" s="190">
        <v>1.305E+16</v>
      </c>
      <c r="AV25" s="190">
        <v>1.638E+16</v>
      </c>
      <c r="AW25" s="190">
        <v>4.956E+16</v>
      </c>
      <c r="AX25" s="190">
        <v>4.473E+16</v>
      </c>
      <c r="AY25" s="203">
        <v>0.3</v>
      </c>
      <c r="AZ25" s="239">
        <v>16.84</v>
      </c>
      <c r="BA25" s="203">
        <v>1996</v>
      </c>
      <c r="BB25" s="204">
        <v>38817</v>
      </c>
      <c r="BC25" s="203" t="s">
        <v>726</v>
      </c>
    </row>
    <row r="26" spans="1:55" x14ac:dyDescent="0.2">
      <c r="A26" s="184" t="s">
        <v>727</v>
      </c>
      <c r="B26" s="184" t="s">
        <v>727</v>
      </c>
      <c r="C26" s="184" t="s">
        <v>723</v>
      </c>
      <c r="D26" s="185" t="s">
        <v>712</v>
      </c>
      <c r="E26" s="184" t="s">
        <v>728</v>
      </c>
      <c r="F26" s="184" t="s">
        <v>729</v>
      </c>
      <c r="G26" s="186">
        <f>IF(ALECA_Input!$F$13="ICAO (3000ft)",'Aircraft Calc'!C$215,'Aircraft Calc'!G$215)</f>
        <v>0.4</v>
      </c>
      <c r="H26" s="186">
        <f>IF(ALECA_Input!$F$13="ICAO (3000ft)",'Aircraft Calc'!D$215,'Aircraft Calc'!H$215)</f>
        <v>0.5</v>
      </c>
      <c r="I26" s="186">
        <f>IF(ALECA_Input!$F$13="ICAO (3000ft)",'Aircraft Calc'!E$215,'Aircraft Calc'!I$215)</f>
        <v>1.6</v>
      </c>
      <c r="J26" s="186">
        <v>1</v>
      </c>
      <c r="K26" s="187">
        <f t="shared" si="1"/>
        <v>16.594799999999999</v>
      </c>
      <c r="L26" s="187">
        <f t="shared" si="2"/>
        <v>0.13562543999999999</v>
      </c>
      <c r="M26" s="187">
        <f t="shared" si="3"/>
        <v>3.4593120000000005E-2</v>
      </c>
      <c r="N26" s="187">
        <f t="shared" si="4"/>
        <v>0.22506600000000004</v>
      </c>
      <c r="O26" s="187">
        <f t="shared" si="5"/>
        <v>7.7688430080000009E-3</v>
      </c>
      <c r="P26" s="188">
        <f t="shared" si="6"/>
        <v>1.1817381974026117E+17</v>
      </c>
      <c r="Q26" s="187">
        <f t="shared" si="7"/>
        <v>1434.0000000000002</v>
      </c>
      <c r="R26" s="219">
        <f t="shared" si="8"/>
        <v>2.8680000000000003</v>
      </c>
      <c r="S26" s="219">
        <f t="shared" si="9"/>
        <v>47.322000000000003</v>
      </c>
      <c r="T26" s="219">
        <f t="shared" si="10"/>
        <v>120.45600000000002</v>
      </c>
      <c r="U26" s="219">
        <f t="shared" si="11"/>
        <v>0.55577538000000015</v>
      </c>
      <c r="V26" s="188">
        <f t="shared" si="12"/>
        <v>1.0970632173958498E+16</v>
      </c>
      <c r="W26" s="323">
        <v>0.1895</v>
      </c>
      <c r="X26" s="323">
        <v>0.1686</v>
      </c>
      <c r="Y26" s="323">
        <v>7.2800000000000004E-2</v>
      </c>
      <c r="Z26" s="323">
        <v>2.3900000000000001E-2</v>
      </c>
      <c r="AA26" s="323">
        <v>11</v>
      </c>
      <c r="AB26" s="323">
        <v>9.6</v>
      </c>
      <c r="AC26" s="323">
        <v>5.3</v>
      </c>
      <c r="AD26" s="323">
        <v>2</v>
      </c>
      <c r="AE26" s="323">
        <v>0.4</v>
      </c>
      <c r="AF26" s="323">
        <v>0.4</v>
      </c>
      <c r="AG26" s="323">
        <v>4.4000000000000004</v>
      </c>
      <c r="AH26" s="323">
        <v>33</v>
      </c>
      <c r="AI26" s="323">
        <v>2.8</v>
      </c>
      <c r="AJ26" s="323">
        <v>2.6</v>
      </c>
      <c r="AK26" s="323">
        <v>28.5</v>
      </c>
      <c r="AL26" s="323">
        <v>84</v>
      </c>
      <c r="AM26" s="323">
        <v>0.33</v>
      </c>
      <c r="AN26" s="323">
        <v>0.33600000000000002</v>
      </c>
      <c r="AO26" s="323">
        <v>0.23799999999999999</v>
      </c>
      <c r="AP26" s="323">
        <v>0.13500000000000001</v>
      </c>
      <c r="AQ26" s="323">
        <v>0.42496</v>
      </c>
      <c r="AR26" s="323">
        <v>0.41536000000000001</v>
      </c>
      <c r="AS26" s="323">
        <v>0.53446000000000005</v>
      </c>
      <c r="AT26" s="323">
        <v>0.38757000000000003</v>
      </c>
      <c r="AU26" s="190">
        <v>2170706421736133.8</v>
      </c>
      <c r="AV26" s="190">
        <v>2776049519668477</v>
      </c>
      <c r="AW26" s="190">
        <v>1.3487320922579278E+16</v>
      </c>
      <c r="AX26" s="190">
        <v>7650371111547069</v>
      </c>
      <c r="AY26" s="203">
        <v>0.5</v>
      </c>
      <c r="AZ26" s="239">
        <v>14.2</v>
      </c>
      <c r="BB26" s="204">
        <v>40765</v>
      </c>
      <c r="BC26" s="203" t="s">
        <v>730</v>
      </c>
    </row>
    <row r="27" spans="1:55" x14ac:dyDescent="0.2">
      <c r="A27" s="184" t="s">
        <v>731</v>
      </c>
      <c r="B27" s="184" t="s">
        <v>731</v>
      </c>
      <c r="C27" s="184" t="s">
        <v>723</v>
      </c>
      <c r="D27" s="185" t="s">
        <v>712</v>
      </c>
      <c r="E27" s="184" t="s">
        <v>732</v>
      </c>
      <c r="F27" s="184" t="s">
        <v>733</v>
      </c>
      <c r="G27" s="186">
        <f>IF(ALECA_Input!$F$13="ICAO (3000ft)",'Aircraft Calc'!C$215,'Aircraft Calc'!G$215)</f>
        <v>0.4</v>
      </c>
      <c r="H27" s="186">
        <f>IF(ALECA_Input!$F$13="ICAO (3000ft)",'Aircraft Calc'!D$215,'Aircraft Calc'!H$215)</f>
        <v>0.5</v>
      </c>
      <c r="I27" s="186">
        <f>IF(ALECA_Input!$F$13="ICAO (3000ft)",'Aircraft Calc'!E$215,'Aircraft Calc'!I$215)</f>
        <v>1.6</v>
      </c>
      <c r="J27" s="186">
        <v>1</v>
      </c>
      <c r="K27" s="187">
        <f t="shared" si="1"/>
        <v>7.9956000000000005</v>
      </c>
      <c r="L27" s="187">
        <f t="shared" si="2"/>
        <v>6.3857868000000012E-2</v>
      </c>
      <c r="M27" s="187">
        <f t="shared" si="3"/>
        <v>1.9451652000000003E-2</v>
      </c>
      <c r="N27" s="187">
        <f t="shared" si="4"/>
        <v>3.1836695999999998E-2</v>
      </c>
      <c r="O27" s="187">
        <f t="shared" si="5"/>
        <v>3.5313966960000003E-3</v>
      </c>
      <c r="P27" s="188">
        <f t="shared" si="6"/>
        <v>3.9900172005540624E+16</v>
      </c>
      <c r="Q27" s="187">
        <f t="shared" si="7"/>
        <v>1008</v>
      </c>
      <c r="R27" s="219">
        <f t="shared" si="8"/>
        <v>1.53216</v>
      </c>
      <c r="S27" s="219">
        <f t="shared" si="9"/>
        <v>41.781600000000005</v>
      </c>
      <c r="T27" s="219">
        <f t="shared" si="10"/>
        <v>77.68656</v>
      </c>
      <c r="U27" s="219">
        <f t="shared" si="11"/>
        <v>0.39786415200000003</v>
      </c>
      <c r="V27" s="188">
        <f t="shared" si="12"/>
        <v>5141049386959630</v>
      </c>
      <c r="W27" s="323">
        <v>9.3899999999999997E-2</v>
      </c>
      <c r="X27" s="323">
        <v>7.9399999999999998E-2</v>
      </c>
      <c r="Y27" s="323">
        <v>3.5000000000000003E-2</v>
      </c>
      <c r="Z27" s="323">
        <v>1.6799999999999999E-2</v>
      </c>
      <c r="AA27" s="323">
        <v>10.18</v>
      </c>
      <c r="AB27" s="323">
        <v>9.01</v>
      </c>
      <c r="AC27" s="323">
        <v>5.79</v>
      </c>
      <c r="AD27" s="323">
        <v>1.52</v>
      </c>
      <c r="AE27" s="323">
        <v>2.17</v>
      </c>
      <c r="AF27" s="323">
        <v>2.77</v>
      </c>
      <c r="AG27" s="323">
        <v>2.37</v>
      </c>
      <c r="AH27" s="323">
        <v>41.45</v>
      </c>
      <c r="AI27" s="323">
        <v>1.56</v>
      </c>
      <c r="AJ27" s="323">
        <v>2.34</v>
      </c>
      <c r="AK27" s="323">
        <v>6.77</v>
      </c>
      <c r="AL27" s="323">
        <v>77.069999999999993</v>
      </c>
      <c r="AM27" s="323">
        <v>0.23100000000000001</v>
      </c>
      <c r="AN27" s="323">
        <v>0.22800000000000001</v>
      </c>
      <c r="AO27" s="323">
        <v>0.16800000000000001</v>
      </c>
      <c r="AP27" s="323">
        <v>0.09</v>
      </c>
      <c r="AQ27" s="323">
        <v>0.52951000000000004</v>
      </c>
      <c r="AR27" s="323">
        <v>0.48748000000000002</v>
      </c>
      <c r="AS27" s="323">
        <v>0.35027249999999999</v>
      </c>
      <c r="AT27" s="323">
        <v>0.39470650000000002</v>
      </c>
      <c r="AU27" s="190">
        <v>1519494495215293.8</v>
      </c>
      <c r="AV27" s="190">
        <v>1883747888346466.5</v>
      </c>
      <c r="AW27" s="190">
        <v>9520461827703020</v>
      </c>
      <c r="AX27" s="190">
        <v>5100247407698046</v>
      </c>
      <c r="AY27" s="203">
        <v>0.2</v>
      </c>
      <c r="AZ27" s="239">
        <v>6.5</v>
      </c>
      <c r="BA27" s="203">
        <v>2006</v>
      </c>
      <c r="BB27" s="204">
        <v>39350</v>
      </c>
      <c r="BC27" s="203" t="s">
        <v>724</v>
      </c>
    </row>
    <row r="28" spans="1:55" x14ac:dyDescent="0.2">
      <c r="A28" s="184" t="s">
        <v>734</v>
      </c>
      <c r="B28" s="184" t="s">
        <v>734</v>
      </c>
      <c r="C28" s="184" t="s">
        <v>723</v>
      </c>
      <c r="D28" s="185" t="s">
        <v>712</v>
      </c>
      <c r="E28" s="184" t="s">
        <v>735</v>
      </c>
      <c r="F28" s="184" t="s">
        <v>736</v>
      </c>
      <c r="G28" s="186">
        <f>IF(ALECA_Input!$F$13="ICAO (3000ft)",'Aircraft Calc'!C$215,'Aircraft Calc'!G$215)</f>
        <v>0.4</v>
      </c>
      <c r="H28" s="186">
        <f>IF(ALECA_Input!$F$13="ICAO (3000ft)",'Aircraft Calc'!D$215,'Aircraft Calc'!H$215)</f>
        <v>0.5</v>
      </c>
      <c r="I28" s="186">
        <f>IF(ALECA_Input!$F$13="ICAO (3000ft)",'Aircraft Calc'!E$215,'Aircraft Calc'!I$215)</f>
        <v>1.6</v>
      </c>
      <c r="J28" s="186">
        <v>1</v>
      </c>
      <c r="K28" s="187">
        <f t="shared" si="1"/>
        <v>10.298400000000001</v>
      </c>
      <c r="L28" s="187">
        <f t="shared" si="2"/>
        <v>6.4697039999999997E-2</v>
      </c>
      <c r="M28" s="187">
        <f t="shared" si="3"/>
        <v>3.5681232E-2</v>
      </c>
      <c r="N28" s="187">
        <f t="shared" si="4"/>
        <v>0.31999031999999999</v>
      </c>
      <c r="O28" s="187">
        <f t="shared" si="5"/>
        <v>5.1270428640000001E-3</v>
      </c>
      <c r="P28" s="188">
        <f t="shared" si="6"/>
        <v>5.5486572388741344E+16</v>
      </c>
      <c r="Q28" s="187">
        <f t="shared" si="7"/>
        <v>1008</v>
      </c>
      <c r="R28" s="219">
        <f t="shared" si="8"/>
        <v>1.2096</v>
      </c>
      <c r="S28" s="219">
        <f t="shared" si="9"/>
        <v>82.656000000000006</v>
      </c>
      <c r="T28" s="219">
        <f t="shared" si="10"/>
        <v>115.92</v>
      </c>
      <c r="U28" s="219">
        <f t="shared" si="11"/>
        <v>0.65005920000000006</v>
      </c>
      <c r="V28" s="188">
        <f t="shared" si="12"/>
        <v>5141049386959630</v>
      </c>
      <c r="W28" s="323">
        <v>0.1197</v>
      </c>
      <c r="X28" s="323">
        <v>0.1048</v>
      </c>
      <c r="Y28" s="323">
        <v>4.4600000000000001E-2</v>
      </c>
      <c r="Z28" s="323">
        <v>1.6799999999999999E-2</v>
      </c>
      <c r="AA28" s="323">
        <v>8.5</v>
      </c>
      <c r="AB28" s="323">
        <v>7.5</v>
      </c>
      <c r="AC28" s="323">
        <v>3.9</v>
      </c>
      <c r="AD28" s="323">
        <v>1.2</v>
      </c>
      <c r="AE28" s="323">
        <v>1.2</v>
      </c>
      <c r="AF28" s="323">
        <v>1.85</v>
      </c>
      <c r="AG28" s="323">
        <v>6.17</v>
      </c>
      <c r="AH28" s="323">
        <v>82</v>
      </c>
      <c r="AI28" s="323">
        <v>2.9</v>
      </c>
      <c r="AJ28" s="323">
        <v>3.8</v>
      </c>
      <c r="AK28" s="323">
        <v>70</v>
      </c>
      <c r="AL28" s="323">
        <v>115</v>
      </c>
      <c r="AM28" s="323">
        <v>0.253</v>
      </c>
      <c r="AN28" s="323">
        <v>0.252</v>
      </c>
      <c r="AO28" s="323">
        <v>0.182</v>
      </c>
      <c r="AP28" s="323">
        <v>0.09</v>
      </c>
      <c r="AQ28" s="323">
        <v>0.43996000000000002</v>
      </c>
      <c r="AR28" s="323">
        <v>0.44156000000000001</v>
      </c>
      <c r="AS28" s="323">
        <v>0.57802249999999999</v>
      </c>
      <c r="AT28" s="323">
        <v>0.64490000000000003</v>
      </c>
      <c r="AU28" s="190">
        <v>1664208256664369.3</v>
      </c>
      <c r="AV28" s="190">
        <v>2082037139751357.8</v>
      </c>
      <c r="AW28" s="190">
        <v>1.031383364667827E+16</v>
      </c>
      <c r="AX28" s="190">
        <v>5100247407698046</v>
      </c>
      <c r="AY28" s="203">
        <v>0.5</v>
      </c>
      <c r="AZ28" s="239">
        <v>7.78</v>
      </c>
      <c r="BA28" s="203">
        <v>2008</v>
      </c>
      <c r="BB28" s="204">
        <v>40218</v>
      </c>
      <c r="BC28" s="203" t="s">
        <v>3052</v>
      </c>
    </row>
    <row r="29" spans="1:55" x14ac:dyDescent="0.2">
      <c r="A29" s="184" t="s">
        <v>687</v>
      </c>
      <c r="B29" s="184" t="s">
        <v>737</v>
      </c>
      <c r="C29" s="184" t="s">
        <v>740</v>
      </c>
      <c r="D29" s="185" t="s">
        <v>712</v>
      </c>
      <c r="E29" s="184" t="s">
        <v>738</v>
      </c>
      <c r="F29" s="184" t="s">
        <v>739</v>
      </c>
      <c r="G29" s="186">
        <f>IF(ALECA_Input!$F$13="ICAO (3000ft)",'Aircraft Calc'!C$215,'Aircraft Calc'!G$215)</f>
        <v>0.4</v>
      </c>
      <c r="H29" s="186">
        <f>IF(ALECA_Input!$F$13="ICAO (3000ft)",'Aircraft Calc'!D$215,'Aircraft Calc'!H$215)</f>
        <v>0.5</v>
      </c>
      <c r="I29" s="186">
        <f>IF(ALECA_Input!$F$13="ICAO (3000ft)",'Aircraft Calc'!E$215,'Aircraft Calc'!I$215)</f>
        <v>1.6</v>
      </c>
      <c r="J29" s="186">
        <v>1</v>
      </c>
      <c r="K29" s="187">
        <f t="shared" si="1"/>
        <v>16.542000000000002</v>
      </c>
      <c r="L29" s="187">
        <f t="shared" si="2"/>
        <v>0.18086400000000002</v>
      </c>
      <c r="M29" s="187">
        <f t="shared" si="3"/>
        <v>2.8625520000000005E-2</v>
      </c>
      <c r="N29" s="187">
        <f t="shared" si="4"/>
        <v>0.16132266000000003</v>
      </c>
      <c r="O29" s="187">
        <f t="shared" si="5"/>
        <v>7.5708578400000004E-3</v>
      </c>
      <c r="P29" s="188">
        <f t="shared" si="6"/>
        <v>1.1781154477626035E+17</v>
      </c>
      <c r="Q29" s="187">
        <f t="shared" si="7"/>
        <v>1440</v>
      </c>
      <c r="R29" s="219">
        <f t="shared" si="8"/>
        <v>4.0607999999999995</v>
      </c>
      <c r="S29" s="219">
        <f t="shared" si="9"/>
        <v>28.857599999999998</v>
      </c>
      <c r="T29" s="219">
        <f t="shared" si="10"/>
        <v>84.384</v>
      </c>
      <c r="U29" s="219">
        <f t="shared" si="11"/>
        <v>0.44295379200000001</v>
      </c>
      <c r="V29" s="188">
        <f t="shared" si="12"/>
        <v>1.1016534400627778E+16</v>
      </c>
      <c r="W29" s="323">
        <v>0.20500000000000002</v>
      </c>
      <c r="X29" s="323">
        <v>0.17299999999999999</v>
      </c>
      <c r="Y29" s="323">
        <v>6.7000000000000004E-2</v>
      </c>
      <c r="Z29" s="323">
        <v>2.4E-2</v>
      </c>
      <c r="AA29" s="323">
        <v>15.25</v>
      </c>
      <c r="AB29" s="323">
        <v>13.08</v>
      </c>
      <c r="AC29" s="323">
        <v>5.9</v>
      </c>
      <c r="AD29" s="323">
        <v>2.82</v>
      </c>
      <c r="AE29" s="323">
        <v>0.114</v>
      </c>
      <c r="AF29" s="323">
        <v>0.128</v>
      </c>
      <c r="AG29" s="323">
        <v>4.26</v>
      </c>
      <c r="AH29" s="323">
        <v>20.04</v>
      </c>
      <c r="AI29" s="323">
        <v>1.3900000000000001</v>
      </c>
      <c r="AJ29" s="323">
        <v>2.0300000000000002</v>
      </c>
      <c r="AK29" s="323">
        <v>22.38</v>
      </c>
      <c r="AL29" s="323">
        <v>58.6</v>
      </c>
      <c r="AM29" s="323">
        <v>0.34100000000000003</v>
      </c>
      <c r="AN29" s="323">
        <v>0.34799999999999998</v>
      </c>
      <c r="AO29" s="323">
        <v>0.252</v>
      </c>
      <c r="AP29" s="323">
        <v>0.13500000000000001</v>
      </c>
      <c r="AQ29" s="323">
        <v>0.40306999999999998</v>
      </c>
      <c r="AR29" s="323">
        <v>0.40668799999999999</v>
      </c>
      <c r="AS29" s="323">
        <v>0.54058499999999998</v>
      </c>
      <c r="AT29" s="323">
        <v>0.30760680000000001</v>
      </c>
      <c r="AU29" s="190">
        <v>2243063302460672</v>
      </c>
      <c r="AV29" s="190">
        <v>2875194145370922.5</v>
      </c>
      <c r="AW29" s="190">
        <v>1.428069274155453E+16</v>
      </c>
      <c r="AX29" s="190">
        <v>7650371111547069</v>
      </c>
      <c r="AY29" s="203">
        <v>0.6</v>
      </c>
      <c r="AZ29" s="239">
        <v>15.6</v>
      </c>
      <c r="BA29" s="203">
        <v>1976</v>
      </c>
      <c r="BB29" s="204">
        <v>38260</v>
      </c>
      <c r="BC29" s="203" t="s">
        <v>3053</v>
      </c>
    </row>
    <row r="30" spans="1:55" x14ac:dyDescent="0.2">
      <c r="A30" s="184" t="s">
        <v>680</v>
      </c>
      <c r="B30" s="184" t="s">
        <v>742</v>
      </c>
      <c r="C30" s="184" t="s">
        <v>740</v>
      </c>
      <c r="D30" s="185" t="s">
        <v>712</v>
      </c>
      <c r="E30" s="184" t="s">
        <v>320</v>
      </c>
      <c r="F30" s="184" t="s">
        <v>743</v>
      </c>
      <c r="G30" s="186">
        <f>IF(ALECA_Input!$F$13="ICAO (3000ft)",'Aircraft Calc'!C$215,'Aircraft Calc'!G$215)</f>
        <v>0.4</v>
      </c>
      <c r="H30" s="186">
        <f>IF(ALECA_Input!$F$13="ICAO (3000ft)",'Aircraft Calc'!D$215,'Aircraft Calc'!H$215)</f>
        <v>0.5</v>
      </c>
      <c r="I30" s="186">
        <f>IF(ALECA_Input!$F$13="ICAO (3000ft)",'Aircraft Calc'!E$215,'Aircraft Calc'!I$215)</f>
        <v>1.6</v>
      </c>
      <c r="J30" s="186">
        <v>1</v>
      </c>
      <c r="K30" s="187">
        <f t="shared" si="1"/>
        <v>17.891999999999999</v>
      </c>
      <c r="L30" s="187">
        <f t="shared" si="2"/>
        <v>0.24063264000000001</v>
      </c>
      <c r="M30" s="187">
        <f t="shared" si="3"/>
        <v>1.0482480000000001E-2</v>
      </c>
      <c r="N30" s="187">
        <f t="shared" si="4"/>
        <v>0.12269231999999999</v>
      </c>
      <c r="O30" s="187">
        <f t="shared" si="5"/>
        <v>7.1446600800000003E-3</v>
      </c>
      <c r="P30" s="188">
        <f t="shared" si="6"/>
        <v>1.2780822756141443E+17</v>
      </c>
      <c r="Q30" s="187">
        <f t="shared" si="7"/>
        <v>1559.9999999999998</v>
      </c>
      <c r="R30" s="219">
        <f t="shared" si="8"/>
        <v>5.8031999999999995</v>
      </c>
      <c r="S30" s="219">
        <f t="shared" si="9"/>
        <v>14.102399999999999</v>
      </c>
      <c r="T30" s="219">
        <f t="shared" si="10"/>
        <v>74.411999999999992</v>
      </c>
      <c r="U30" s="219">
        <f t="shared" si="11"/>
        <v>0.37398940799999997</v>
      </c>
      <c r="V30" s="188">
        <f t="shared" si="12"/>
        <v>1.1934578934013426E+16</v>
      </c>
      <c r="W30" s="323">
        <v>0.22500000000000001</v>
      </c>
      <c r="X30" s="323">
        <v>0.186</v>
      </c>
      <c r="Y30" s="323">
        <v>7.1999999999999995E-2</v>
      </c>
      <c r="Z30" s="323">
        <v>2.5999999999999999E-2</v>
      </c>
      <c r="AA30" s="323">
        <v>19.150000000000002</v>
      </c>
      <c r="AB30" s="323">
        <v>16.02</v>
      </c>
      <c r="AC30" s="323">
        <v>6.92</v>
      </c>
      <c r="AD30" s="323">
        <v>3.72</v>
      </c>
      <c r="AE30" s="323">
        <v>6.2E-2</v>
      </c>
      <c r="AF30" s="323">
        <v>7.1999999999999995E-2</v>
      </c>
      <c r="AG30" s="323">
        <v>1.41</v>
      </c>
      <c r="AH30" s="323">
        <v>9.0400000000000009</v>
      </c>
      <c r="AI30" s="323">
        <v>1.1300000000000001</v>
      </c>
      <c r="AJ30" s="323">
        <v>1.62</v>
      </c>
      <c r="AK30" s="323">
        <v>15.56</v>
      </c>
      <c r="AL30" s="323">
        <v>47.7</v>
      </c>
      <c r="AM30" s="323">
        <v>0.35199999999999998</v>
      </c>
      <c r="AN30" s="323">
        <v>0.36</v>
      </c>
      <c r="AO30" s="323">
        <v>0.252</v>
      </c>
      <c r="AP30" s="323">
        <v>0.13500000000000001</v>
      </c>
      <c r="AQ30" s="323">
        <v>0.40809000000000001</v>
      </c>
      <c r="AR30" s="323">
        <v>0.41443200000000002</v>
      </c>
      <c r="AS30" s="323">
        <v>0.38027250000000001</v>
      </c>
      <c r="AT30" s="323">
        <v>0.2397368</v>
      </c>
      <c r="AU30" s="190">
        <v>2315420183185209.5</v>
      </c>
      <c r="AV30" s="190">
        <v>2974338771073368</v>
      </c>
      <c r="AW30" s="190">
        <v>1.428069274155453E+16</v>
      </c>
      <c r="AX30" s="190">
        <v>7650371111547069</v>
      </c>
      <c r="AY30" s="203">
        <v>0.8</v>
      </c>
      <c r="AZ30" s="239">
        <v>16.5</v>
      </c>
      <c r="BA30" s="203">
        <v>1976</v>
      </c>
      <c r="BB30" s="204">
        <v>38260</v>
      </c>
      <c r="BC30" s="203" t="s">
        <v>3053</v>
      </c>
    </row>
    <row r="31" spans="1:55" x14ac:dyDescent="0.2">
      <c r="A31" s="184" t="s">
        <v>672</v>
      </c>
      <c r="B31" s="184" t="s">
        <v>744</v>
      </c>
      <c r="C31" s="184" t="s">
        <v>723</v>
      </c>
      <c r="D31" s="185" t="s">
        <v>712</v>
      </c>
      <c r="E31" s="184" t="s">
        <v>745</v>
      </c>
      <c r="F31" s="184" t="s">
        <v>746</v>
      </c>
      <c r="G31" s="186">
        <f>IF(ALECA_Input!$F$13="ICAO (3000ft)",'Aircraft Calc'!C$215,'Aircraft Calc'!G$215)</f>
        <v>0.4</v>
      </c>
      <c r="H31" s="186">
        <f>IF(ALECA_Input!$F$13="ICAO (3000ft)",'Aircraft Calc'!D$215,'Aircraft Calc'!H$215)</f>
        <v>0.5</v>
      </c>
      <c r="I31" s="186">
        <f>IF(ALECA_Input!$F$13="ICAO (3000ft)",'Aircraft Calc'!E$215,'Aircraft Calc'!I$215)</f>
        <v>1.6</v>
      </c>
      <c r="J31" s="186">
        <v>1</v>
      </c>
      <c r="K31" s="187">
        <f t="shared" si="1"/>
        <v>12.168000000000001</v>
      </c>
      <c r="L31" s="187">
        <f t="shared" si="2"/>
        <v>6.9021840000000001E-2</v>
      </c>
      <c r="M31" s="187">
        <f t="shared" si="3"/>
        <v>2.1762000000000004E-2</v>
      </c>
      <c r="N31" s="187">
        <f t="shared" si="4"/>
        <v>0.22072080000000005</v>
      </c>
      <c r="O31" s="187">
        <f t="shared" si="5"/>
        <v>2.6722709037898117E-3</v>
      </c>
      <c r="P31" s="188">
        <f t="shared" si="6"/>
        <v>2.1508272359637288E+16</v>
      </c>
      <c r="Q31" s="187">
        <f t="shared" si="7"/>
        <v>1380</v>
      </c>
      <c r="R31" s="219">
        <f t="shared" si="8"/>
        <v>2.415</v>
      </c>
      <c r="S31" s="219">
        <f t="shared" si="9"/>
        <v>69.69</v>
      </c>
      <c r="T31" s="219">
        <f t="shared" si="10"/>
        <v>182.16</v>
      </c>
      <c r="U31" s="219">
        <f t="shared" si="11"/>
        <v>0.61603175980769032</v>
      </c>
      <c r="V31" s="188">
        <f t="shared" si="12"/>
        <v>6714173086656880</v>
      </c>
      <c r="W31" s="323">
        <v>0.14799999999999999</v>
      </c>
      <c r="X31" s="323">
        <v>0.124</v>
      </c>
      <c r="Y31" s="323">
        <v>5.0999999999999997E-2</v>
      </c>
      <c r="Z31" s="323">
        <v>2.3E-2</v>
      </c>
      <c r="AA31" s="323">
        <v>7.6000000000000005</v>
      </c>
      <c r="AB31" s="323">
        <v>6.7700000000000005</v>
      </c>
      <c r="AC31" s="323">
        <v>3.44</v>
      </c>
      <c r="AD31" s="323">
        <v>1.75</v>
      </c>
      <c r="AE31" s="323">
        <v>0.01</v>
      </c>
      <c r="AF31" s="323">
        <v>0.01</v>
      </c>
      <c r="AG31" s="323">
        <v>4.43</v>
      </c>
      <c r="AH31" s="323">
        <v>50.5</v>
      </c>
      <c r="AI31" s="323">
        <v>2.65</v>
      </c>
      <c r="AJ31" s="323">
        <v>3.5</v>
      </c>
      <c r="AK31" s="323">
        <v>40.5</v>
      </c>
      <c r="AL31" s="323">
        <v>132</v>
      </c>
      <c r="AM31" s="323">
        <v>7.1062309350219996E-2</v>
      </c>
      <c r="AN31" s="323">
        <v>7.7710907480693828E-2</v>
      </c>
      <c r="AO31" s="323">
        <v>6.2927639940696223E-2</v>
      </c>
      <c r="AP31" s="323">
        <v>8.5854825947601729E-2</v>
      </c>
      <c r="AQ31" s="323">
        <v>0.12117230935021998</v>
      </c>
      <c r="AR31" s="323">
        <v>0.12743090748069383</v>
      </c>
      <c r="AS31" s="323">
        <v>0.36107513994069629</v>
      </c>
      <c r="AT31" s="323">
        <v>0.44639982594760169</v>
      </c>
      <c r="AU31" s="190">
        <v>467440640151279.63</v>
      </c>
      <c r="AV31" s="190">
        <v>642051569597564.13</v>
      </c>
      <c r="AW31" s="190">
        <v>3566072583112133</v>
      </c>
      <c r="AX31" s="190">
        <v>4865342816418029</v>
      </c>
      <c r="AY31" s="203">
        <v>0.3</v>
      </c>
      <c r="AZ31" s="239">
        <v>9.7900000000000009</v>
      </c>
      <c r="BA31" s="203">
        <v>1977</v>
      </c>
      <c r="BB31" s="204">
        <v>39296</v>
      </c>
      <c r="BC31" s="203" t="s">
        <v>3054</v>
      </c>
    </row>
    <row r="32" spans="1:55" x14ac:dyDescent="0.2">
      <c r="A32" s="184" t="s">
        <v>748</v>
      </c>
      <c r="B32" s="184" t="s">
        <v>747</v>
      </c>
      <c r="C32" s="184" t="s">
        <v>723</v>
      </c>
      <c r="D32" s="185" t="s">
        <v>712</v>
      </c>
      <c r="E32" s="184" t="s">
        <v>749</v>
      </c>
      <c r="F32" s="184" t="s">
        <v>750</v>
      </c>
      <c r="G32" s="186">
        <f>IF(ALECA_Input!$F$13="ICAO (3000ft)",'Aircraft Calc'!C$215,'Aircraft Calc'!G$215)</f>
        <v>0.4</v>
      </c>
      <c r="H32" s="186">
        <f>IF(ALECA_Input!$F$13="ICAO (3000ft)",'Aircraft Calc'!D$215,'Aircraft Calc'!H$215)</f>
        <v>0.5</v>
      </c>
      <c r="I32" s="186">
        <f>IF(ALECA_Input!$F$13="ICAO (3000ft)",'Aircraft Calc'!E$215,'Aircraft Calc'!I$215)</f>
        <v>1.6</v>
      </c>
      <c r="J32" s="186">
        <v>1</v>
      </c>
      <c r="K32" s="187">
        <f t="shared" si="1"/>
        <v>14.0268</v>
      </c>
      <c r="L32" s="187">
        <f t="shared" si="2"/>
        <v>0.104276904</v>
      </c>
      <c r="M32" s="187">
        <f t="shared" si="3"/>
        <v>3.0351251999999999E-2</v>
      </c>
      <c r="N32" s="187">
        <f t="shared" si="4"/>
        <v>0.20344307999999997</v>
      </c>
      <c r="O32" s="187">
        <f t="shared" si="5"/>
        <v>3.3100710055917145E-3</v>
      </c>
      <c r="P32" s="188">
        <f t="shared" si="6"/>
        <v>2.1149518796852088E+16</v>
      </c>
      <c r="Q32" s="187">
        <f t="shared" si="7"/>
        <v>1566</v>
      </c>
      <c r="R32" s="219">
        <f t="shared" si="8"/>
        <v>4.1185799999999997</v>
      </c>
      <c r="S32" s="219">
        <f t="shared" si="9"/>
        <v>62.64</v>
      </c>
      <c r="T32" s="219">
        <f t="shared" si="10"/>
        <v>151.90200000000002</v>
      </c>
      <c r="U32" s="219">
        <f t="shared" si="11"/>
        <v>0.57494849039667795</v>
      </c>
      <c r="V32" s="188">
        <f t="shared" si="12"/>
        <v>6334979359072770</v>
      </c>
      <c r="W32" s="323">
        <v>0.16969999999999999</v>
      </c>
      <c r="X32" s="323">
        <v>0.14299999999999999</v>
      </c>
      <c r="Y32" s="323">
        <v>5.8999999999999997E-2</v>
      </c>
      <c r="Z32" s="323">
        <v>2.6100000000000002E-2</v>
      </c>
      <c r="AA32" s="323">
        <v>9.23</v>
      </c>
      <c r="AB32" s="323">
        <v>8.56</v>
      </c>
      <c r="AC32" s="323">
        <v>5.29</v>
      </c>
      <c r="AD32" s="323">
        <v>2.63</v>
      </c>
      <c r="AE32" s="323">
        <v>0.09</v>
      </c>
      <c r="AF32" s="323">
        <v>0.19</v>
      </c>
      <c r="AG32" s="323">
        <v>5.15</v>
      </c>
      <c r="AH32" s="323">
        <v>40</v>
      </c>
      <c r="AI32" s="323">
        <v>2.1</v>
      </c>
      <c r="AJ32" s="323">
        <v>3.18</v>
      </c>
      <c r="AK32" s="323">
        <v>32</v>
      </c>
      <c r="AL32" s="323">
        <v>97</v>
      </c>
      <c r="AM32" s="323">
        <v>6.6131643649825336E-2</v>
      </c>
      <c r="AN32" s="323">
        <v>7.289906876254823E-2</v>
      </c>
      <c r="AO32" s="323">
        <v>5.2321651543674803E-2</v>
      </c>
      <c r="AP32" s="323">
        <v>7.1384629882936104E-2</v>
      </c>
      <c r="AQ32" s="323">
        <v>0.12544164364982532</v>
      </c>
      <c r="AR32" s="323">
        <v>0.13629906876254821</v>
      </c>
      <c r="AS32" s="323">
        <v>0.39096915154367479</v>
      </c>
      <c r="AT32" s="323">
        <v>0.36714462988293611</v>
      </c>
      <c r="AU32" s="190">
        <v>435007222880731.81</v>
      </c>
      <c r="AV32" s="190">
        <v>602295907209974</v>
      </c>
      <c r="AW32" s="190">
        <v>2965037418356754</v>
      </c>
      <c r="AX32" s="190">
        <v>4045325261221436.5</v>
      </c>
      <c r="AY32" s="203">
        <v>0.4</v>
      </c>
      <c r="AZ32" s="239">
        <v>11.120000000000001</v>
      </c>
      <c r="BA32" s="203">
        <v>1973</v>
      </c>
      <c r="BB32" s="204">
        <v>39296</v>
      </c>
      <c r="BC32" s="203" t="s">
        <v>3054</v>
      </c>
    </row>
    <row r="33" spans="1:55" x14ac:dyDescent="0.2">
      <c r="A33" s="184" t="s">
        <v>752</v>
      </c>
      <c r="B33" s="184" t="s">
        <v>751</v>
      </c>
      <c r="C33" s="184" t="s">
        <v>723</v>
      </c>
      <c r="D33" s="185" t="s">
        <v>712</v>
      </c>
      <c r="E33" s="184" t="s">
        <v>753</v>
      </c>
      <c r="F33" s="184" t="s">
        <v>754</v>
      </c>
      <c r="G33" s="186">
        <f>IF(ALECA_Input!$F$13="ICAO (3000ft)",'Aircraft Calc'!C$215,'Aircraft Calc'!G$215)</f>
        <v>0.4</v>
      </c>
      <c r="H33" s="186">
        <f>IF(ALECA_Input!$F$13="ICAO (3000ft)",'Aircraft Calc'!D$215,'Aircraft Calc'!H$215)</f>
        <v>0.5</v>
      </c>
      <c r="I33" s="186">
        <f>IF(ALECA_Input!$F$13="ICAO (3000ft)",'Aircraft Calc'!E$215,'Aircraft Calc'!I$215)</f>
        <v>1.6</v>
      </c>
      <c r="J33" s="186">
        <v>1</v>
      </c>
      <c r="K33" s="187">
        <f t="shared" si="1"/>
        <v>16.446600000000004</v>
      </c>
      <c r="L33" s="187">
        <f t="shared" si="2"/>
        <v>0.13832740800000001</v>
      </c>
      <c r="M33" s="187">
        <f t="shared" si="3"/>
        <v>8.0866500000000022E-2</v>
      </c>
      <c r="N33" s="187">
        <f t="shared" si="4"/>
        <v>0.25052775000000005</v>
      </c>
      <c r="O33" s="187">
        <f t="shared" si="5"/>
        <v>6.9633957280048984E-3</v>
      </c>
      <c r="P33" s="188">
        <f t="shared" si="6"/>
        <v>3.5289774855020456E+16</v>
      </c>
      <c r="Q33" s="187">
        <f t="shared" si="7"/>
        <v>1776</v>
      </c>
      <c r="R33" s="219">
        <f t="shared" si="8"/>
        <v>2.9481600000000001</v>
      </c>
      <c r="S33" s="219">
        <f t="shared" si="9"/>
        <v>211.52160000000001</v>
      </c>
      <c r="T33" s="219">
        <f t="shared" si="10"/>
        <v>211.69920000000002</v>
      </c>
      <c r="U33" s="219">
        <f t="shared" si="11"/>
        <v>1.5806351459076171</v>
      </c>
      <c r="V33" s="188">
        <f t="shared" si="12"/>
        <v>1.068750689461058E+16</v>
      </c>
      <c r="W33" s="323">
        <v>0.2054</v>
      </c>
      <c r="X33" s="323">
        <v>0.17269999999999999</v>
      </c>
      <c r="Y33" s="323">
        <v>6.6000000000000003E-2</v>
      </c>
      <c r="Z33" s="323">
        <v>2.9600000000000001E-2</v>
      </c>
      <c r="AA33" s="323">
        <v>11.13</v>
      </c>
      <c r="AB33" s="323">
        <v>10.08</v>
      </c>
      <c r="AC33" s="323">
        <v>4.93</v>
      </c>
      <c r="AD33" s="323">
        <v>1.6600000000000001</v>
      </c>
      <c r="AE33" s="323">
        <v>0</v>
      </c>
      <c r="AF33" s="323">
        <v>1.3</v>
      </c>
      <c r="AG33" s="323">
        <v>11.700000000000001</v>
      </c>
      <c r="AH33" s="323">
        <v>119.1</v>
      </c>
      <c r="AI33" s="323">
        <v>0</v>
      </c>
      <c r="AJ33" s="323">
        <v>1.1500000000000001</v>
      </c>
      <c r="AK33" s="323">
        <v>38.6</v>
      </c>
      <c r="AL33" s="323">
        <v>119.2</v>
      </c>
      <c r="AM33" s="323">
        <v>9.3991659367923086E-2</v>
      </c>
      <c r="AN33" s="323">
        <v>0.10035106375798108</v>
      </c>
      <c r="AO33" s="323">
        <v>7.783258312100437E-2</v>
      </c>
      <c r="AP33" s="323">
        <v>0.10619026683987443</v>
      </c>
      <c r="AQ33" s="323">
        <v>0.14295165936792309</v>
      </c>
      <c r="AR33" s="323">
        <v>0.24811106375798109</v>
      </c>
      <c r="AS33" s="323">
        <v>0.78491758312100435</v>
      </c>
      <c r="AT33" s="323">
        <v>0.88999726683987446</v>
      </c>
      <c r="AU33" s="190">
        <v>618267571453290.63</v>
      </c>
      <c r="AV33" s="190">
        <v>829105721260607.38</v>
      </c>
      <c r="AW33" s="190">
        <v>4410727003303835.5</v>
      </c>
      <c r="AX33" s="190">
        <v>6017740368587038</v>
      </c>
      <c r="AY33" s="203">
        <v>0.5</v>
      </c>
      <c r="AZ33" s="239">
        <v>12.9</v>
      </c>
      <c r="BA33" s="203">
        <v>1993</v>
      </c>
      <c r="BB33" s="204">
        <v>39296</v>
      </c>
      <c r="BC33" s="203" t="s">
        <v>3054</v>
      </c>
    </row>
    <row r="34" spans="1:55" x14ac:dyDescent="0.2">
      <c r="A34" s="184" t="s">
        <v>756</v>
      </c>
      <c r="B34" s="184" t="s">
        <v>755</v>
      </c>
      <c r="C34" s="184" t="s">
        <v>723</v>
      </c>
      <c r="D34" s="185" t="s">
        <v>712</v>
      </c>
      <c r="E34" s="184" t="s">
        <v>757</v>
      </c>
      <c r="F34" s="184" t="s">
        <v>757</v>
      </c>
      <c r="G34" s="186">
        <f>IF(ALECA_Input!$F$13="ICAO (3000ft)",'Aircraft Calc'!C$215,'Aircraft Calc'!G$215)</f>
        <v>0.4</v>
      </c>
      <c r="H34" s="186">
        <f>IF(ALECA_Input!$F$13="ICAO (3000ft)",'Aircraft Calc'!D$215,'Aircraft Calc'!H$215)</f>
        <v>0.5</v>
      </c>
      <c r="I34" s="186">
        <f>IF(ALECA_Input!$F$13="ICAO (3000ft)",'Aircraft Calc'!E$215,'Aircraft Calc'!I$215)</f>
        <v>1.6</v>
      </c>
      <c r="J34" s="186">
        <v>1</v>
      </c>
      <c r="K34" s="187">
        <f t="shared" si="1"/>
        <v>17.077200000000001</v>
      </c>
      <c r="L34" s="187">
        <f t="shared" si="2"/>
        <v>0.138228396</v>
      </c>
      <c r="M34" s="187">
        <f t="shared" si="3"/>
        <v>0.10776282000000002</v>
      </c>
      <c r="N34" s="187">
        <f t="shared" si="4"/>
        <v>0.35609964000000011</v>
      </c>
      <c r="O34" s="187">
        <f t="shared" si="5"/>
        <v>8.3673169343131317E-3</v>
      </c>
      <c r="P34" s="188">
        <f t="shared" si="6"/>
        <v>3.4382470608056076E+16</v>
      </c>
      <c r="Q34" s="187">
        <f t="shared" si="7"/>
        <v>1656</v>
      </c>
      <c r="R34" s="219">
        <f t="shared" si="8"/>
        <v>1.7884800000000001</v>
      </c>
      <c r="S34" s="219">
        <f t="shared" si="9"/>
        <v>160.08552</v>
      </c>
      <c r="T34" s="219">
        <f t="shared" si="10"/>
        <v>206.33760000000001</v>
      </c>
      <c r="U34" s="219">
        <f t="shared" si="11"/>
        <v>1.2377697538589683</v>
      </c>
      <c r="V34" s="188">
        <f t="shared" si="12"/>
        <v>9575110154644746</v>
      </c>
      <c r="W34" s="323">
        <v>0.21510000000000001</v>
      </c>
      <c r="X34" s="323">
        <v>0.1802</v>
      </c>
      <c r="Y34" s="323">
        <v>6.7799999999999999E-2</v>
      </c>
      <c r="Z34" s="323">
        <v>2.76E-2</v>
      </c>
      <c r="AA34" s="323">
        <v>9.93</v>
      </c>
      <c r="AB34" s="323">
        <v>9.7900000000000009</v>
      </c>
      <c r="AC34" s="323">
        <v>5.23</v>
      </c>
      <c r="AD34" s="323">
        <v>1.08</v>
      </c>
      <c r="AE34" s="323">
        <v>0</v>
      </c>
      <c r="AF34" s="323">
        <v>0.67</v>
      </c>
      <c r="AG34" s="323">
        <v>16</v>
      </c>
      <c r="AH34" s="323">
        <v>96.67</v>
      </c>
      <c r="AI34" s="323">
        <v>2.52</v>
      </c>
      <c r="AJ34" s="323">
        <v>4.18</v>
      </c>
      <c r="AK34" s="323">
        <v>49.24</v>
      </c>
      <c r="AL34" s="323">
        <v>124.60000000000001</v>
      </c>
      <c r="AM34" s="323">
        <v>8.4044503690675371E-2</v>
      </c>
      <c r="AN34" s="323">
        <v>8.8308392756779708E-2</v>
      </c>
      <c r="AO34" s="323">
        <v>7.4784474129983666E-2</v>
      </c>
      <c r="AP34" s="323">
        <v>0.10203160353802447</v>
      </c>
      <c r="AQ34" s="323">
        <v>0.13300450369067537</v>
      </c>
      <c r="AR34" s="323">
        <v>0.1881883927567797</v>
      </c>
      <c r="AS34" s="323">
        <v>1.0237444741299837</v>
      </c>
      <c r="AT34" s="323">
        <v>0.74744550353802441</v>
      </c>
      <c r="AU34" s="190">
        <v>552836193554470.44</v>
      </c>
      <c r="AV34" s="190">
        <v>729608545521290.25</v>
      </c>
      <c r="AW34" s="190">
        <v>4237992447972342</v>
      </c>
      <c r="AX34" s="190">
        <v>5782071349423156</v>
      </c>
      <c r="AY34" s="203">
        <v>0.5</v>
      </c>
      <c r="AZ34" s="239">
        <v>14.19</v>
      </c>
      <c r="BA34" s="203">
        <v>1993</v>
      </c>
      <c r="BB34" s="204">
        <v>39296</v>
      </c>
      <c r="BC34" s="203" t="s">
        <v>3054</v>
      </c>
    </row>
    <row r="35" spans="1:55" x14ac:dyDescent="0.2">
      <c r="A35" s="184" t="s">
        <v>758</v>
      </c>
      <c r="B35" s="184" t="s">
        <v>758</v>
      </c>
      <c r="C35" s="184" t="s">
        <v>723</v>
      </c>
      <c r="D35" s="185" t="s">
        <v>712</v>
      </c>
      <c r="E35" s="184" t="s">
        <v>760</v>
      </c>
      <c r="F35" s="184" t="s">
        <v>760</v>
      </c>
      <c r="G35" s="186">
        <f>IF(ALECA_Input!$F$13="ICAO (3000ft)",'Aircraft Calc'!C$215,'Aircraft Calc'!G$215)</f>
        <v>0.4</v>
      </c>
      <c r="H35" s="186">
        <f>IF(ALECA_Input!$F$13="ICAO (3000ft)",'Aircraft Calc'!D$215,'Aircraft Calc'!H$215)</f>
        <v>0.5</v>
      </c>
      <c r="I35" s="186">
        <f>IF(ALECA_Input!$F$13="ICAO (3000ft)",'Aircraft Calc'!E$215,'Aircraft Calc'!I$215)</f>
        <v>1.6</v>
      </c>
      <c r="J35" s="186">
        <v>1</v>
      </c>
      <c r="K35" s="187">
        <f t="shared" si="1"/>
        <v>19.178400000000003</v>
      </c>
      <c r="L35" s="187">
        <f t="shared" si="2"/>
        <v>0.21565372800000002</v>
      </c>
      <c r="M35" s="187">
        <f t="shared" si="3"/>
        <v>0</v>
      </c>
      <c r="N35" s="187">
        <f t="shared" si="4"/>
        <v>0.15075523200000002</v>
      </c>
      <c r="O35" s="187">
        <f t="shared" si="5"/>
        <v>9.7354208639999999E-3</v>
      </c>
      <c r="P35" s="188">
        <f t="shared" si="6"/>
        <v>5.5196784E+17</v>
      </c>
      <c r="Q35" s="187">
        <f t="shared" si="7"/>
        <v>2010.0000000000002</v>
      </c>
      <c r="R35" s="219">
        <f t="shared" si="8"/>
        <v>5.3064000000000009</v>
      </c>
      <c r="S35" s="219">
        <f t="shared" si="9"/>
        <v>24.300900000000002</v>
      </c>
      <c r="T35" s="219">
        <f t="shared" si="10"/>
        <v>121.26330000000002</v>
      </c>
      <c r="U35" s="219">
        <f t="shared" si="11"/>
        <v>0.79104615300000003</v>
      </c>
      <c r="V35" s="188">
        <f t="shared" si="12"/>
        <v>8.9907300000000016E+16</v>
      </c>
      <c r="W35" s="323">
        <v>0.2326</v>
      </c>
      <c r="X35" s="323">
        <v>0.1956</v>
      </c>
      <c r="Y35" s="323">
        <v>8.0500000000000002E-2</v>
      </c>
      <c r="Z35" s="323">
        <v>3.3500000000000002E-2</v>
      </c>
      <c r="AA35" s="323">
        <v>16.670000000000002</v>
      </c>
      <c r="AB35" s="323">
        <v>13.82</v>
      </c>
      <c r="AC35" s="323">
        <v>5.37</v>
      </c>
      <c r="AD35" s="323">
        <v>2.64</v>
      </c>
      <c r="AE35" s="323">
        <v>0</v>
      </c>
      <c r="AF35" s="323">
        <v>0</v>
      </c>
      <c r="AG35" s="323">
        <v>0</v>
      </c>
      <c r="AH35" s="323">
        <v>12.09</v>
      </c>
      <c r="AI35" s="323">
        <v>1.48</v>
      </c>
      <c r="AJ35" s="323">
        <v>0.92</v>
      </c>
      <c r="AK35" s="323">
        <v>17.739999999999998</v>
      </c>
      <c r="AL35" s="323">
        <v>60.33</v>
      </c>
      <c r="AM35" s="323">
        <v>0.45100000000000001</v>
      </c>
      <c r="AN35" s="323">
        <v>0.48</v>
      </c>
      <c r="AO35" s="323">
        <v>0.44800000000000001</v>
      </c>
      <c r="AP35" s="323">
        <v>0.27</v>
      </c>
      <c r="AQ35" s="323">
        <v>0.49996000000000002</v>
      </c>
      <c r="AR35" s="323">
        <v>0.52895999999999999</v>
      </c>
      <c r="AS35" s="323">
        <v>0.49696000000000001</v>
      </c>
      <c r="AT35" s="323">
        <v>0.3935553</v>
      </c>
      <c r="AU35" s="190">
        <v>1.305E+16</v>
      </c>
      <c r="AV35" s="190">
        <v>1.638E+16</v>
      </c>
      <c r="AW35" s="190">
        <v>4.956E+16</v>
      </c>
      <c r="AX35" s="190">
        <v>4.473E+16</v>
      </c>
      <c r="AY35" s="203">
        <v>0.8</v>
      </c>
      <c r="AZ35" s="239">
        <v>18.7</v>
      </c>
      <c r="BA35" s="203">
        <v>2005</v>
      </c>
      <c r="BB35" s="204">
        <v>38989</v>
      </c>
      <c r="BC35" s="203" t="s">
        <v>3055</v>
      </c>
    </row>
    <row r="36" spans="1:55" x14ac:dyDescent="0.2">
      <c r="A36" s="184" t="s">
        <v>761</v>
      </c>
      <c r="B36" s="184" t="s">
        <v>761</v>
      </c>
      <c r="C36" s="184" t="s">
        <v>723</v>
      </c>
      <c r="D36" s="185" t="s">
        <v>712</v>
      </c>
      <c r="E36" s="184" t="s">
        <v>762</v>
      </c>
      <c r="F36" s="184" t="s">
        <v>760</v>
      </c>
      <c r="G36" s="186">
        <f>IF(ALECA_Input!$F$13="ICAO (3000ft)",'Aircraft Calc'!C$215,'Aircraft Calc'!G$215)</f>
        <v>0.4</v>
      </c>
      <c r="H36" s="186">
        <f>IF(ALECA_Input!$F$13="ICAO (3000ft)",'Aircraft Calc'!D$215,'Aircraft Calc'!H$215)</f>
        <v>0.5</v>
      </c>
      <c r="I36" s="186">
        <f>IF(ALECA_Input!$F$13="ICAO (3000ft)",'Aircraft Calc'!E$215,'Aircraft Calc'!I$215)</f>
        <v>1.6</v>
      </c>
      <c r="J36" s="186">
        <v>1</v>
      </c>
      <c r="K36" s="187">
        <f t="shared" si="1"/>
        <v>19.178400000000003</v>
      </c>
      <c r="L36" s="187">
        <f t="shared" si="2"/>
        <v>0.21565372800000002</v>
      </c>
      <c r="M36" s="187">
        <f t="shared" si="3"/>
        <v>0</v>
      </c>
      <c r="N36" s="187">
        <f t="shared" si="4"/>
        <v>0.15075523200000002</v>
      </c>
      <c r="O36" s="187">
        <f t="shared" si="5"/>
        <v>9.7354208639999999E-3</v>
      </c>
      <c r="P36" s="188">
        <f t="shared" si="6"/>
        <v>5.5196784E+17</v>
      </c>
      <c r="Q36" s="187">
        <f t="shared" si="7"/>
        <v>2010.0000000000002</v>
      </c>
      <c r="R36" s="219">
        <f t="shared" si="8"/>
        <v>5.3064000000000009</v>
      </c>
      <c r="S36" s="219">
        <f t="shared" si="9"/>
        <v>24.300900000000002</v>
      </c>
      <c r="T36" s="219">
        <f t="shared" si="10"/>
        <v>121.26330000000002</v>
      </c>
      <c r="U36" s="219">
        <f t="shared" si="11"/>
        <v>0.79104615300000003</v>
      </c>
      <c r="V36" s="188">
        <f t="shared" si="12"/>
        <v>8.9907300000000016E+16</v>
      </c>
      <c r="W36" s="323">
        <v>0.2326</v>
      </c>
      <c r="X36" s="323">
        <v>0.1956</v>
      </c>
      <c r="Y36" s="323">
        <v>8.0500000000000002E-2</v>
      </c>
      <c r="Z36" s="323">
        <v>3.3500000000000002E-2</v>
      </c>
      <c r="AA36" s="323">
        <v>16.670000000000002</v>
      </c>
      <c r="AB36" s="323">
        <v>13.82</v>
      </c>
      <c r="AC36" s="323">
        <v>5.37</v>
      </c>
      <c r="AD36" s="323">
        <v>2.64</v>
      </c>
      <c r="AE36" s="323">
        <v>0</v>
      </c>
      <c r="AF36" s="323">
        <v>0</v>
      </c>
      <c r="AG36" s="323">
        <v>0</v>
      </c>
      <c r="AH36" s="323">
        <v>12.09</v>
      </c>
      <c r="AI36" s="323">
        <v>1.48</v>
      </c>
      <c r="AJ36" s="323">
        <v>0.92</v>
      </c>
      <c r="AK36" s="323">
        <v>17.739999999999998</v>
      </c>
      <c r="AL36" s="323">
        <v>60.33</v>
      </c>
      <c r="AM36" s="323">
        <v>0.45100000000000001</v>
      </c>
      <c r="AN36" s="323">
        <v>0.48</v>
      </c>
      <c r="AO36" s="323">
        <v>0.44800000000000001</v>
      </c>
      <c r="AP36" s="323">
        <v>0.27</v>
      </c>
      <c r="AQ36" s="323">
        <v>0.49996000000000002</v>
      </c>
      <c r="AR36" s="323">
        <v>0.52895999999999999</v>
      </c>
      <c r="AS36" s="323">
        <v>0.49696000000000001</v>
      </c>
      <c r="AT36" s="323">
        <v>0.3935553</v>
      </c>
      <c r="AU36" s="190">
        <v>1.305E+16</v>
      </c>
      <c r="AV36" s="190">
        <v>1.638E+16</v>
      </c>
      <c r="AW36" s="190">
        <v>4.956E+16</v>
      </c>
      <c r="AX36" s="190">
        <v>4.473E+16</v>
      </c>
      <c r="AY36" s="203">
        <v>0.8</v>
      </c>
      <c r="AZ36" s="239">
        <v>18.7</v>
      </c>
      <c r="BA36" s="203">
        <v>2005</v>
      </c>
      <c r="BB36" s="204">
        <v>42717</v>
      </c>
      <c r="BC36" s="203" t="s">
        <v>3056</v>
      </c>
    </row>
    <row r="37" spans="1:55" x14ac:dyDescent="0.2">
      <c r="A37" s="184" t="s">
        <v>763</v>
      </c>
      <c r="B37" s="184" t="s">
        <v>763</v>
      </c>
      <c r="C37" s="184" t="s">
        <v>723</v>
      </c>
      <c r="D37" s="185" t="s">
        <v>712</v>
      </c>
      <c r="E37" s="184" t="s">
        <v>764</v>
      </c>
      <c r="F37" s="184" t="s">
        <v>764</v>
      </c>
      <c r="G37" s="186">
        <f>IF(ALECA_Input!$F$13="ICAO (3000ft)",'Aircraft Calc'!C$215,'Aircraft Calc'!G$215)</f>
        <v>0.4</v>
      </c>
      <c r="H37" s="186">
        <f>IF(ALECA_Input!$F$13="ICAO (3000ft)",'Aircraft Calc'!D$215,'Aircraft Calc'!H$215)</f>
        <v>0.5</v>
      </c>
      <c r="I37" s="186">
        <f>IF(ALECA_Input!$F$13="ICAO (3000ft)",'Aircraft Calc'!E$215,'Aircraft Calc'!I$215)</f>
        <v>1.6</v>
      </c>
      <c r="J37" s="186">
        <v>1</v>
      </c>
      <c r="K37" s="187">
        <f t="shared" si="1"/>
        <v>20.484000000000002</v>
      </c>
      <c r="L37" s="187">
        <f t="shared" si="2"/>
        <v>0.25403484000000004</v>
      </c>
      <c r="M37" s="187">
        <f t="shared" si="3"/>
        <v>4.5301200000000003E-3</v>
      </c>
      <c r="N37" s="187">
        <f t="shared" si="4"/>
        <v>0.11369820000000001</v>
      </c>
      <c r="O37" s="187">
        <f t="shared" si="5"/>
        <v>8.8690826399999995E-3</v>
      </c>
      <c r="P37" s="188">
        <f t="shared" si="6"/>
        <v>1.7179244382690816E+17</v>
      </c>
      <c r="Q37" s="187">
        <f t="shared" si="7"/>
        <v>2040</v>
      </c>
      <c r="R37" s="219">
        <f t="shared" si="8"/>
        <v>8.8740000000000006</v>
      </c>
      <c r="S37" s="219">
        <f t="shared" si="9"/>
        <v>10.546799999999999</v>
      </c>
      <c r="T37" s="219">
        <f t="shared" si="10"/>
        <v>92.575200000000009</v>
      </c>
      <c r="U37" s="219">
        <f t="shared" si="11"/>
        <v>0.50155215600000003</v>
      </c>
      <c r="V37" s="188">
        <f t="shared" si="12"/>
        <v>1.9074925304790696E+16</v>
      </c>
      <c r="W37" s="323">
        <v>0.254</v>
      </c>
      <c r="X37" s="323">
        <v>0.214</v>
      </c>
      <c r="Y37" s="323">
        <v>8.3000000000000004E-2</v>
      </c>
      <c r="Z37" s="323">
        <v>3.4000000000000002E-2</v>
      </c>
      <c r="AA37" s="323">
        <v>14.77</v>
      </c>
      <c r="AB37" s="323">
        <v>13.27</v>
      </c>
      <c r="AC37" s="323">
        <v>9.89</v>
      </c>
      <c r="AD37" s="323">
        <v>4.3500000000000005</v>
      </c>
      <c r="AE37" s="323">
        <v>0.05</v>
      </c>
      <c r="AF37" s="323">
        <v>0.05</v>
      </c>
      <c r="AG37" s="323">
        <v>0.49</v>
      </c>
      <c r="AH37" s="323">
        <v>5.17</v>
      </c>
      <c r="AI37" s="323">
        <v>2.25</v>
      </c>
      <c r="AJ37" s="323">
        <v>2.79</v>
      </c>
      <c r="AK37" s="323">
        <v>10.3</v>
      </c>
      <c r="AL37" s="323">
        <v>45.38</v>
      </c>
      <c r="AM37" s="323">
        <v>0.41799999999999998</v>
      </c>
      <c r="AN37" s="323">
        <v>0.42</v>
      </c>
      <c r="AO37" s="323">
        <v>0.29399999999999998</v>
      </c>
      <c r="AP37" s="323">
        <v>0.16500000000000001</v>
      </c>
      <c r="AQ37" s="323">
        <v>0.47271000000000002</v>
      </c>
      <c r="AR37" s="323">
        <v>0.47276000000000001</v>
      </c>
      <c r="AS37" s="323">
        <v>0.37052249999999998</v>
      </c>
      <c r="AT37" s="323">
        <v>0.24585889999999999</v>
      </c>
      <c r="AU37" s="190">
        <v>2749561467532436</v>
      </c>
      <c r="AV37" s="190">
        <v>3470061899585596</v>
      </c>
      <c r="AW37" s="190">
        <v>1.6660808198480284E+16</v>
      </c>
      <c r="AX37" s="190">
        <v>9350453580779752</v>
      </c>
      <c r="AY37" s="203">
        <v>1</v>
      </c>
      <c r="AZ37" s="239">
        <v>23.2</v>
      </c>
      <c r="BA37" s="203">
        <v>1992</v>
      </c>
      <c r="BB37" s="204">
        <v>35684</v>
      </c>
      <c r="BC37" s="203" t="s">
        <v>3051</v>
      </c>
    </row>
    <row r="38" spans="1:55" x14ac:dyDescent="0.2">
      <c r="A38" s="184" t="s">
        <v>766</v>
      </c>
      <c r="B38" s="184" t="s">
        <v>765</v>
      </c>
      <c r="C38" s="184" t="s">
        <v>769</v>
      </c>
      <c r="D38" s="185" t="s">
        <v>712</v>
      </c>
      <c r="E38" s="184" t="s">
        <v>767</v>
      </c>
      <c r="F38" s="184" t="s">
        <v>768</v>
      </c>
      <c r="G38" s="186">
        <f>IF(ALECA_Input!$F$13="ICAO (3000ft)",'Aircraft Calc'!C$215,'Aircraft Calc'!G$215)</f>
        <v>0.4</v>
      </c>
      <c r="H38" s="186">
        <f>IF(ALECA_Input!$F$13="ICAO (3000ft)",'Aircraft Calc'!D$215,'Aircraft Calc'!H$215)</f>
        <v>0.5</v>
      </c>
      <c r="I38" s="186">
        <f>IF(ALECA_Input!$F$13="ICAO (3000ft)",'Aircraft Calc'!E$215,'Aircraft Calc'!I$215)</f>
        <v>1.6</v>
      </c>
      <c r="J38" s="186">
        <v>1</v>
      </c>
      <c r="K38" s="187">
        <f t="shared" si="1"/>
        <v>27.288000000000004</v>
      </c>
      <c r="L38" s="187">
        <f t="shared" si="2"/>
        <v>0.10056000000000002</v>
      </c>
      <c r="M38" s="187">
        <f t="shared" si="3"/>
        <v>1.7205600000000005E-2</v>
      </c>
      <c r="N38" s="187">
        <f t="shared" si="4"/>
        <v>1.0871759999999999</v>
      </c>
      <c r="O38" s="187">
        <f t="shared" si="5"/>
        <v>1.1452260480000002E-2</v>
      </c>
      <c r="P38" s="188">
        <f t="shared" si="6"/>
        <v>2.1350031738434077E+17</v>
      </c>
      <c r="Q38" s="187">
        <f t="shared" si="7"/>
        <v>3480</v>
      </c>
      <c r="R38" s="219">
        <f t="shared" si="8"/>
        <v>3.1320000000000001</v>
      </c>
      <c r="S38" s="219">
        <f t="shared" si="9"/>
        <v>62.64</v>
      </c>
      <c r="T38" s="219">
        <f t="shared" si="10"/>
        <v>539.4</v>
      </c>
      <c r="U38" s="219">
        <f t="shared" si="11"/>
        <v>1.0788696</v>
      </c>
      <c r="V38" s="188">
        <f t="shared" si="12"/>
        <v>2.9581434964648668E+16</v>
      </c>
      <c r="W38" s="323">
        <v>0.32800000000000001</v>
      </c>
      <c r="X38" s="323">
        <v>0.27600000000000002</v>
      </c>
      <c r="Y38" s="323">
        <v>0.11600000000000001</v>
      </c>
      <c r="Z38" s="323">
        <v>5.8000000000000003E-2</v>
      </c>
      <c r="AA38" s="323">
        <v>5.6000000000000005</v>
      </c>
      <c r="AB38" s="323">
        <v>4.4000000000000004</v>
      </c>
      <c r="AC38" s="323">
        <v>1.8</v>
      </c>
      <c r="AD38" s="323">
        <v>0.9</v>
      </c>
      <c r="AE38" s="323">
        <v>0.1</v>
      </c>
      <c r="AF38" s="323">
        <v>0.1</v>
      </c>
      <c r="AG38" s="323">
        <v>1.4000000000000001</v>
      </c>
      <c r="AH38" s="323">
        <v>18</v>
      </c>
      <c r="AI38" s="323">
        <v>22</v>
      </c>
      <c r="AJ38" s="323">
        <v>27</v>
      </c>
      <c r="AK38" s="323">
        <v>62</v>
      </c>
      <c r="AL38" s="323">
        <v>155</v>
      </c>
      <c r="AM38" s="323">
        <v>0.374</v>
      </c>
      <c r="AN38" s="323">
        <v>0.38400000000000001</v>
      </c>
      <c r="AO38" s="323">
        <v>0.26600000000000001</v>
      </c>
      <c r="AP38" s="323">
        <v>0.15</v>
      </c>
      <c r="AQ38" s="323">
        <v>0.43446000000000001</v>
      </c>
      <c r="AR38" s="323">
        <v>0.44056000000000001</v>
      </c>
      <c r="AS38" s="323">
        <v>0.39371</v>
      </c>
      <c r="AT38" s="323">
        <v>0.31002000000000002</v>
      </c>
      <c r="AU38" s="190">
        <v>2460133944634285</v>
      </c>
      <c r="AV38" s="190">
        <v>3172628022478259</v>
      </c>
      <c r="AW38" s="190">
        <v>1.5074064560529782E+16</v>
      </c>
      <c r="AX38" s="190">
        <v>8500412346163410</v>
      </c>
      <c r="AY38" s="203">
        <v>0.4</v>
      </c>
      <c r="AZ38" s="239">
        <v>18.900000000000002</v>
      </c>
      <c r="BB38" s="204">
        <v>35684</v>
      </c>
      <c r="BC38" s="203" t="s">
        <v>3057</v>
      </c>
    </row>
    <row r="39" spans="1:55" x14ac:dyDescent="0.2">
      <c r="A39" s="184" t="s">
        <v>771</v>
      </c>
      <c r="B39" s="184" t="s">
        <v>770</v>
      </c>
      <c r="C39" s="184" t="s">
        <v>769</v>
      </c>
      <c r="D39" s="185" t="s">
        <v>712</v>
      </c>
      <c r="E39" s="184" t="s">
        <v>772</v>
      </c>
      <c r="F39" s="184" t="s">
        <v>773</v>
      </c>
      <c r="G39" s="186">
        <f>IF(ALECA_Input!$F$13="ICAO (3000ft)",'Aircraft Calc'!C$215,'Aircraft Calc'!G$215)</f>
        <v>0.4</v>
      </c>
      <c r="H39" s="186">
        <f>IF(ALECA_Input!$F$13="ICAO (3000ft)",'Aircraft Calc'!D$215,'Aircraft Calc'!H$215)</f>
        <v>0.5</v>
      </c>
      <c r="I39" s="186">
        <f>IF(ALECA_Input!$F$13="ICAO (3000ft)",'Aircraft Calc'!E$215,'Aircraft Calc'!I$215)</f>
        <v>1.6</v>
      </c>
      <c r="J39" s="186">
        <v>1</v>
      </c>
      <c r="K39" s="187">
        <f t="shared" si="1"/>
        <v>29.423999999999999</v>
      </c>
      <c r="L39" s="187">
        <f t="shared" si="2"/>
        <v>8.4096000000000004E-2</v>
      </c>
      <c r="M39" s="187">
        <f t="shared" si="3"/>
        <v>3.6004800000000003E-2</v>
      </c>
      <c r="N39" s="187">
        <f t="shared" si="4"/>
        <v>1.5585120000000001</v>
      </c>
      <c r="O39" s="187">
        <f t="shared" si="5"/>
        <v>1.1802323040000002E-2</v>
      </c>
      <c r="P39" s="188">
        <f t="shared" si="6"/>
        <v>1.9795646012739619E+17</v>
      </c>
      <c r="Q39" s="187">
        <f t="shared" si="7"/>
        <v>3840</v>
      </c>
      <c r="R39" s="219">
        <f t="shared" si="8"/>
        <v>3.456</v>
      </c>
      <c r="S39" s="219">
        <f t="shared" si="9"/>
        <v>69.12</v>
      </c>
      <c r="T39" s="219">
        <f t="shared" si="10"/>
        <v>595.19999999999993</v>
      </c>
      <c r="U39" s="219">
        <f t="shared" si="11"/>
        <v>1.0752767999999999</v>
      </c>
      <c r="V39" s="188">
        <f t="shared" si="12"/>
        <v>2.6113266727413996E+16</v>
      </c>
      <c r="W39" s="323">
        <v>0.35000000000000003</v>
      </c>
      <c r="X39" s="323">
        <v>0.28799999999999998</v>
      </c>
      <c r="Y39" s="323">
        <v>0.129</v>
      </c>
      <c r="Z39" s="323">
        <v>6.4000000000000001E-2</v>
      </c>
      <c r="AA39" s="323">
        <v>4.2</v>
      </c>
      <c r="AB39" s="323">
        <v>3.5</v>
      </c>
      <c r="AC39" s="323">
        <v>1.5</v>
      </c>
      <c r="AD39" s="323">
        <v>0.9</v>
      </c>
      <c r="AE39" s="323">
        <v>0.1</v>
      </c>
      <c r="AF39" s="323">
        <v>0.2</v>
      </c>
      <c r="AG39" s="323">
        <v>2.7</v>
      </c>
      <c r="AH39" s="323">
        <v>18</v>
      </c>
      <c r="AI39" s="323">
        <v>27</v>
      </c>
      <c r="AJ39" s="323">
        <v>28</v>
      </c>
      <c r="AK39" s="323">
        <v>88</v>
      </c>
      <c r="AL39" s="323">
        <v>155</v>
      </c>
      <c r="AM39" s="323">
        <v>0.31900000000000001</v>
      </c>
      <c r="AN39" s="323">
        <v>0.32400000000000001</v>
      </c>
      <c r="AO39" s="323">
        <v>0.224</v>
      </c>
      <c r="AP39" s="323">
        <v>0.12</v>
      </c>
      <c r="AQ39" s="323">
        <v>0.37946000000000002</v>
      </c>
      <c r="AR39" s="323">
        <v>0.38816000000000001</v>
      </c>
      <c r="AS39" s="323">
        <v>0.42483500000000002</v>
      </c>
      <c r="AT39" s="323">
        <v>0.28001999999999999</v>
      </c>
      <c r="AU39" s="190">
        <v>2098349541011596</v>
      </c>
      <c r="AV39" s="190">
        <v>2676904893966031</v>
      </c>
      <c r="AW39" s="190">
        <v>1.2693949103604026E+16</v>
      </c>
      <c r="AX39" s="190">
        <v>6800329876930728</v>
      </c>
      <c r="AY39" s="203">
        <v>0.3</v>
      </c>
      <c r="AZ39" s="239">
        <v>13.120000000000001</v>
      </c>
      <c r="BB39" s="204">
        <v>35684</v>
      </c>
      <c r="BC39" s="203" t="s">
        <v>3057</v>
      </c>
    </row>
    <row r="40" spans="1:55" x14ac:dyDescent="0.2">
      <c r="A40" s="184" t="s">
        <v>775</v>
      </c>
      <c r="B40" s="184" t="s">
        <v>775</v>
      </c>
      <c r="C40" s="184" t="s">
        <v>740</v>
      </c>
      <c r="D40" s="185" t="s">
        <v>712</v>
      </c>
      <c r="E40" s="184" t="s">
        <v>776</v>
      </c>
      <c r="F40" s="184" t="s">
        <v>3058</v>
      </c>
      <c r="G40" s="186">
        <f>IF(ALECA_Input!$F$13="ICAO (3000ft)",'Aircraft Calc'!C$215,'Aircraft Calc'!G$215)</f>
        <v>0.4</v>
      </c>
      <c r="H40" s="186">
        <f>IF(ALECA_Input!$F$13="ICAO (3000ft)",'Aircraft Calc'!D$215,'Aircraft Calc'!H$215)</f>
        <v>0.5</v>
      </c>
      <c r="I40" s="186">
        <f>IF(ALECA_Input!$F$13="ICAO (3000ft)",'Aircraft Calc'!E$215,'Aircraft Calc'!I$215)</f>
        <v>1.6</v>
      </c>
      <c r="J40" s="186">
        <v>1</v>
      </c>
      <c r="K40" s="187">
        <f t="shared" si="1"/>
        <v>21.741599999999998</v>
      </c>
      <c r="L40" s="187">
        <f t="shared" si="2"/>
        <v>0.55307656799999994</v>
      </c>
      <c r="M40" s="187">
        <f t="shared" si="3"/>
        <v>8.0898480000000002E-3</v>
      </c>
      <c r="N40" s="187">
        <f t="shared" si="4"/>
        <v>4.6445712E-2</v>
      </c>
      <c r="O40" s="187">
        <f t="shared" si="5"/>
        <v>1.0379694936E-2</v>
      </c>
      <c r="P40" s="188">
        <f t="shared" si="6"/>
        <v>2.0046053139168077E+17</v>
      </c>
      <c r="Q40" s="187">
        <f t="shared" si="7"/>
        <v>2346</v>
      </c>
      <c r="R40" s="219">
        <f t="shared" si="8"/>
        <v>14.521740000000001</v>
      </c>
      <c r="S40" s="219">
        <f t="shared" si="9"/>
        <v>24.797220000000003</v>
      </c>
      <c r="T40" s="219">
        <f t="shared" si="10"/>
        <v>116.61966000000001</v>
      </c>
      <c r="U40" s="219">
        <f t="shared" si="11"/>
        <v>0.69013900740000012</v>
      </c>
      <c r="V40" s="188">
        <f t="shared" si="12"/>
        <v>2.3930360836919232E+16</v>
      </c>
      <c r="W40" s="323">
        <v>0.26889999999999997</v>
      </c>
      <c r="X40" s="323">
        <v>0.2248</v>
      </c>
      <c r="Y40" s="323">
        <v>8.8999999999999996E-2</v>
      </c>
      <c r="Z40" s="323">
        <v>3.9100000000000003E-2</v>
      </c>
      <c r="AA40" s="323">
        <v>32.630000000000003</v>
      </c>
      <c r="AB40" s="323">
        <v>29.97</v>
      </c>
      <c r="AC40" s="323">
        <v>16.43</v>
      </c>
      <c r="AD40" s="323">
        <v>6.19</v>
      </c>
      <c r="AE40" s="323">
        <v>0.23</v>
      </c>
      <c r="AF40" s="323">
        <v>0.27</v>
      </c>
      <c r="AG40" s="323">
        <v>0.56000000000000005</v>
      </c>
      <c r="AH40" s="323">
        <v>10.57</v>
      </c>
      <c r="AI40" s="323">
        <v>0.62</v>
      </c>
      <c r="AJ40" s="323">
        <v>0.96</v>
      </c>
      <c r="AK40" s="323">
        <v>4.21</v>
      </c>
      <c r="AL40" s="323">
        <v>49.71</v>
      </c>
      <c r="AM40" s="323">
        <v>0.45100000000000001</v>
      </c>
      <c r="AN40" s="323">
        <v>0.45600000000000002</v>
      </c>
      <c r="AO40" s="323">
        <v>0.32200000000000001</v>
      </c>
      <c r="AP40" s="323">
        <v>0.18</v>
      </c>
      <c r="AQ40" s="323">
        <v>0.52641000000000004</v>
      </c>
      <c r="AR40" s="323">
        <v>0.52547999999999995</v>
      </c>
      <c r="AS40" s="323">
        <v>0.40245999999999998</v>
      </c>
      <c r="AT40" s="323">
        <v>0.29417690000000002</v>
      </c>
      <c r="AU40" s="190">
        <v>2966632109706050</v>
      </c>
      <c r="AV40" s="190">
        <v>3767495776692933</v>
      </c>
      <c r="AW40" s="190">
        <v>1.8247551836430788E+16</v>
      </c>
      <c r="AX40" s="190">
        <v>1.0200494815396092E+16</v>
      </c>
      <c r="AY40" s="203">
        <v>2</v>
      </c>
      <c r="AZ40" s="239">
        <v>26.65</v>
      </c>
      <c r="BA40" s="203">
        <v>1993</v>
      </c>
      <c r="BB40" s="204">
        <v>39938</v>
      </c>
      <c r="BC40" s="203" t="s">
        <v>3051</v>
      </c>
    </row>
    <row r="41" spans="1:55" x14ac:dyDescent="0.2">
      <c r="A41" s="184" t="s">
        <v>777</v>
      </c>
      <c r="B41" s="184" t="s">
        <v>777</v>
      </c>
      <c r="C41" s="184" t="s">
        <v>740</v>
      </c>
      <c r="D41" s="185" t="s">
        <v>712</v>
      </c>
      <c r="E41" s="184" t="s">
        <v>778</v>
      </c>
      <c r="F41" s="184" t="s">
        <v>3059</v>
      </c>
      <c r="G41" s="186">
        <f>IF(ALECA_Input!$F$13="ICAO (3000ft)",'Aircraft Calc'!C$215,'Aircraft Calc'!G$215)</f>
        <v>0.4</v>
      </c>
      <c r="H41" s="186">
        <f>IF(ALECA_Input!$F$13="ICAO (3000ft)",'Aircraft Calc'!D$215,'Aircraft Calc'!H$215)</f>
        <v>0.5</v>
      </c>
      <c r="I41" s="186">
        <f>IF(ALECA_Input!$F$13="ICAO (3000ft)",'Aircraft Calc'!E$215,'Aircraft Calc'!I$215)</f>
        <v>1.6</v>
      </c>
      <c r="J41" s="186">
        <v>1</v>
      </c>
      <c r="K41" s="187">
        <f t="shared" si="1"/>
        <v>18.9588</v>
      </c>
      <c r="L41" s="187">
        <f t="shared" si="2"/>
        <v>0.25595407200000003</v>
      </c>
      <c r="M41" s="187">
        <f t="shared" si="3"/>
        <v>2.0593320000000001E-3</v>
      </c>
      <c r="N41" s="187">
        <f t="shared" si="4"/>
        <v>6.2121467999999999E-2</v>
      </c>
      <c r="O41" s="187">
        <f t="shared" si="5"/>
        <v>7.5901949279999995E-3</v>
      </c>
      <c r="P41" s="188">
        <f t="shared" si="6"/>
        <v>1.4918782206059011E+17</v>
      </c>
      <c r="Q41" s="187">
        <f t="shared" si="7"/>
        <v>1680</v>
      </c>
      <c r="R41" s="219">
        <f t="shared" si="8"/>
        <v>6.2496</v>
      </c>
      <c r="S41" s="219">
        <f t="shared" si="9"/>
        <v>14.4984</v>
      </c>
      <c r="T41" s="219">
        <f t="shared" si="10"/>
        <v>67.653599999999997</v>
      </c>
      <c r="U41" s="219">
        <f t="shared" si="11"/>
        <v>0.42370792800000001</v>
      </c>
      <c r="V41" s="188">
        <f t="shared" si="12"/>
        <v>1.4280692741554528E+16</v>
      </c>
      <c r="W41" s="323">
        <v>0.23319999999999999</v>
      </c>
      <c r="X41" s="323">
        <v>0.20219999999999999</v>
      </c>
      <c r="Y41" s="323">
        <v>7.5999999999999998E-2</v>
      </c>
      <c r="Z41" s="323">
        <v>2.8000000000000001E-2</v>
      </c>
      <c r="AA41" s="323">
        <v>19.14</v>
      </c>
      <c r="AB41" s="323">
        <v>16.14</v>
      </c>
      <c r="AC41" s="323">
        <v>6.98</v>
      </c>
      <c r="AD41" s="323">
        <v>3.72</v>
      </c>
      <c r="AE41" s="323">
        <v>0.04</v>
      </c>
      <c r="AF41" s="323">
        <v>0.05</v>
      </c>
      <c r="AG41" s="323">
        <v>0.21</v>
      </c>
      <c r="AH41" s="323">
        <v>8.6300000000000008</v>
      </c>
      <c r="AI41" s="323">
        <v>0.81</v>
      </c>
      <c r="AJ41" s="323">
        <v>0.99</v>
      </c>
      <c r="AK41" s="323">
        <v>7.07</v>
      </c>
      <c r="AL41" s="323">
        <v>40.270000000000003</v>
      </c>
      <c r="AM41" s="323">
        <v>0.38500000000000001</v>
      </c>
      <c r="AN41" s="323">
        <v>0.38400000000000001</v>
      </c>
      <c r="AO41" s="323">
        <v>0.28000000000000003</v>
      </c>
      <c r="AP41" s="323">
        <v>0.15</v>
      </c>
      <c r="AQ41" s="323">
        <v>0.43856000000000001</v>
      </c>
      <c r="AR41" s="323">
        <v>0.43675999999999998</v>
      </c>
      <c r="AS41" s="323">
        <v>0.34077249999999998</v>
      </c>
      <c r="AT41" s="323">
        <v>0.25220710000000002</v>
      </c>
      <c r="AU41" s="190">
        <v>2532490825358823</v>
      </c>
      <c r="AV41" s="190">
        <v>3172628022478259</v>
      </c>
      <c r="AW41" s="190">
        <v>1.5867436379505032E+16</v>
      </c>
      <c r="AX41" s="190">
        <v>8500412346163410</v>
      </c>
      <c r="AY41" s="203">
        <v>0.9</v>
      </c>
      <c r="AZ41" s="239">
        <v>19.149999999999999</v>
      </c>
      <c r="BB41" s="204">
        <v>38260</v>
      </c>
      <c r="BC41" s="203" t="s">
        <v>3051</v>
      </c>
    </row>
    <row r="42" spans="1:55" x14ac:dyDescent="0.2">
      <c r="A42" s="184" t="s">
        <v>779</v>
      </c>
      <c r="B42" s="184" t="s">
        <v>779</v>
      </c>
      <c r="C42" s="184" t="s">
        <v>740</v>
      </c>
      <c r="D42" s="185" t="s">
        <v>712</v>
      </c>
      <c r="E42" s="184" t="s">
        <v>780</v>
      </c>
      <c r="F42" s="184" t="s">
        <v>3060</v>
      </c>
      <c r="G42" s="186">
        <f>IF(ALECA_Input!$F$13="ICAO (3000ft)",'Aircraft Calc'!C$215,'Aircraft Calc'!G$215)</f>
        <v>0.4</v>
      </c>
      <c r="H42" s="186">
        <f>IF(ALECA_Input!$F$13="ICAO (3000ft)",'Aircraft Calc'!D$215,'Aircraft Calc'!H$215)</f>
        <v>0.5</v>
      </c>
      <c r="I42" s="186">
        <f>IF(ALECA_Input!$F$13="ICAO (3000ft)",'Aircraft Calc'!E$215,'Aircraft Calc'!I$215)</f>
        <v>1.6</v>
      </c>
      <c r="J42" s="186">
        <v>1</v>
      </c>
      <c r="K42" s="187">
        <f t="shared" si="1"/>
        <v>20.820599999999999</v>
      </c>
      <c r="L42" s="187">
        <f t="shared" si="2"/>
        <v>0.28004552999999999</v>
      </c>
      <c r="M42" s="187">
        <f t="shared" si="3"/>
        <v>4.6246380000000012E-3</v>
      </c>
      <c r="N42" s="187">
        <f t="shared" si="4"/>
        <v>7.0690043999999994E-2</v>
      </c>
      <c r="O42" s="187">
        <f t="shared" si="5"/>
        <v>8.5369434959999997E-3</v>
      </c>
      <c r="P42" s="188">
        <f t="shared" si="6"/>
        <v>1.6555693401186054E+17</v>
      </c>
      <c r="Q42" s="187">
        <f t="shared" si="7"/>
        <v>1734</v>
      </c>
      <c r="R42" s="219">
        <f t="shared" si="8"/>
        <v>6.0169800000000002</v>
      </c>
      <c r="S42" s="219">
        <f t="shared" si="9"/>
        <v>16.698420000000002</v>
      </c>
      <c r="T42" s="219">
        <f t="shared" si="10"/>
        <v>67.487279999999998</v>
      </c>
      <c r="U42" s="219">
        <f t="shared" si="11"/>
        <v>0.44802589140000004</v>
      </c>
      <c r="V42" s="188">
        <f t="shared" si="12"/>
        <v>1.4739715008247352E+16</v>
      </c>
      <c r="W42" s="323">
        <v>0.26029999999999998</v>
      </c>
      <c r="X42" s="323">
        <v>0.2157</v>
      </c>
      <c r="Y42" s="323">
        <v>8.4400000000000003E-2</v>
      </c>
      <c r="Z42" s="323">
        <v>2.8899999999999999E-2</v>
      </c>
      <c r="AA42" s="323">
        <v>20</v>
      </c>
      <c r="AB42" s="323">
        <v>15.83</v>
      </c>
      <c r="AC42" s="323">
        <v>6.5</v>
      </c>
      <c r="AD42" s="323">
        <v>3.47</v>
      </c>
      <c r="AE42" s="323">
        <v>0.04</v>
      </c>
      <c r="AF42" s="323">
        <v>0.05</v>
      </c>
      <c r="AG42" s="323">
        <v>0.5</v>
      </c>
      <c r="AH42" s="323">
        <v>9.6300000000000008</v>
      </c>
      <c r="AI42" s="323">
        <v>0.83</v>
      </c>
      <c r="AJ42" s="323">
        <v>1.02</v>
      </c>
      <c r="AK42" s="323">
        <v>7.27</v>
      </c>
      <c r="AL42" s="323">
        <v>38.92</v>
      </c>
      <c r="AM42" s="323">
        <v>0.38500000000000001</v>
      </c>
      <c r="AN42" s="323">
        <v>0.39600000000000002</v>
      </c>
      <c r="AO42" s="323">
        <v>0.28000000000000003</v>
      </c>
      <c r="AP42" s="323">
        <v>0.15</v>
      </c>
      <c r="AQ42" s="323">
        <v>0.43856000000000001</v>
      </c>
      <c r="AR42" s="323">
        <v>0.44875999999999999</v>
      </c>
      <c r="AS42" s="323">
        <v>0.35708499999999999</v>
      </c>
      <c r="AT42" s="323">
        <v>0.25837710000000003</v>
      </c>
      <c r="AU42" s="190">
        <v>2532490825358823</v>
      </c>
      <c r="AV42" s="190">
        <v>3271772648180704.5</v>
      </c>
      <c r="AW42" s="190">
        <v>1.5867436379505032E+16</v>
      </c>
      <c r="AX42" s="190">
        <v>8500412346163410</v>
      </c>
      <c r="AY42" s="203">
        <v>1</v>
      </c>
      <c r="AZ42" s="239">
        <v>20.149999999999999</v>
      </c>
      <c r="BB42" s="204">
        <v>38260</v>
      </c>
      <c r="BC42" s="203" t="s">
        <v>3051</v>
      </c>
    </row>
    <row r="43" spans="1:55" x14ac:dyDescent="0.2">
      <c r="A43" s="184" t="s">
        <v>781</v>
      </c>
      <c r="B43" s="184" t="s">
        <v>781</v>
      </c>
      <c r="C43" s="184" t="s">
        <v>740</v>
      </c>
      <c r="D43" s="185" t="s">
        <v>712</v>
      </c>
      <c r="E43" s="184" t="s">
        <v>782</v>
      </c>
      <c r="F43" s="184" t="s">
        <v>3061</v>
      </c>
      <c r="G43" s="186">
        <f>IF(ALECA_Input!$F$13="ICAO (3000ft)",'Aircraft Calc'!C$215,'Aircraft Calc'!G$215)</f>
        <v>0.4</v>
      </c>
      <c r="H43" s="186">
        <f>IF(ALECA_Input!$F$13="ICAO (3000ft)",'Aircraft Calc'!D$215,'Aircraft Calc'!H$215)</f>
        <v>0.5</v>
      </c>
      <c r="I43" s="186">
        <f>IF(ALECA_Input!$F$13="ICAO (3000ft)",'Aircraft Calc'!E$215,'Aircraft Calc'!I$215)</f>
        <v>1.6</v>
      </c>
      <c r="J43" s="186">
        <v>1</v>
      </c>
      <c r="K43" s="187">
        <f t="shared" si="1"/>
        <v>21.406199999999998</v>
      </c>
      <c r="L43" s="187">
        <f t="shared" si="2"/>
        <v>0.303612936</v>
      </c>
      <c r="M43" s="187">
        <f t="shared" si="3"/>
        <v>4.6555980000000004E-3</v>
      </c>
      <c r="N43" s="187">
        <f t="shared" si="4"/>
        <v>7.0632485999999994E-2</v>
      </c>
      <c r="O43" s="187">
        <f t="shared" si="5"/>
        <v>9.0627516720000016E-3</v>
      </c>
      <c r="P43" s="188">
        <f t="shared" si="6"/>
        <v>1.7497809235867146E+17</v>
      </c>
      <c r="Q43" s="187">
        <f t="shared" si="7"/>
        <v>1890.0000000000002</v>
      </c>
      <c r="R43" s="219">
        <f t="shared" si="8"/>
        <v>6.8229000000000006</v>
      </c>
      <c r="S43" s="219">
        <f t="shared" si="9"/>
        <v>17.3691</v>
      </c>
      <c r="T43" s="219">
        <f t="shared" si="10"/>
        <v>70.704899999999995</v>
      </c>
      <c r="U43" s="219">
        <f t="shared" si="11"/>
        <v>0.48320174700000007</v>
      </c>
      <c r="V43" s="188">
        <f t="shared" si="12"/>
        <v>1.6065779334248846E+16</v>
      </c>
      <c r="W43" s="323">
        <v>0.27129999999999999</v>
      </c>
      <c r="X43" s="323">
        <v>0.2261</v>
      </c>
      <c r="Y43" s="323">
        <v>8.4500000000000006E-2</v>
      </c>
      <c r="Z43" s="323">
        <v>3.15E-2</v>
      </c>
      <c r="AA43" s="323">
        <v>21.03</v>
      </c>
      <c r="AB43" s="323">
        <v>16.8</v>
      </c>
      <c r="AC43" s="323">
        <v>6.5</v>
      </c>
      <c r="AD43" s="323">
        <v>3.61</v>
      </c>
      <c r="AE43" s="323">
        <v>0.04</v>
      </c>
      <c r="AF43" s="323">
        <v>0.05</v>
      </c>
      <c r="AG43" s="323">
        <v>0.5</v>
      </c>
      <c r="AH43" s="323">
        <v>9.19</v>
      </c>
      <c r="AI43" s="323">
        <v>0.78</v>
      </c>
      <c r="AJ43" s="323">
        <v>0.97</v>
      </c>
      <c r="AK43" s="323">
        <v>7.27</v>
      </c>
      <c r="AL43" s="323">
        <v>37.409999999999997</v>
      </c>
      <c r="AM43" s="323">
        <v>0.39600000000000002</v>
      </c>
      <c r="AN43" s="323">
        <v>0.40799999999999997</v>
      </c>
      <c r="AO43" s="323">
        <v>0.29399999999999998</v>
      </c>
      <c r="AP43" s="323">
        <v>0.15</v>
      </c>
      <c r="AQ43" s="323">
        <v>0.44956000000000002</v>
      </c>
      <c r="AR43" s="323">
        <v>0.46076</v>
      </c>
      <c r="AS43" s="323">
        <v>0.371085</v>
      </c>
      <c r="AT43" s="323">
        <v>0.25566230000000001</v>
      </c>
      <c r="AU43" s="190">
        <v>2604847706083361</v>
      </c>
      <c r="AV43" s="190">
        <v>3370917273883150.5</v>
      </c>
      <c r="AW43" s="190">
        <v>1.6660808198480284E+16</v>
      </c>
      <c r="AX43" s="190">
        <v>8500412346163410</v>
      </c>
      <c r="AY43" s="203">
        <v>1.1000000000000001</v>
      </c>
      <c r="AZ43" s="239">
        <v>21.14</v>
      </c>
      <c r="BB43" s="204">
        <v>38260</v>
      </c>
      <c r="BC43" s="203" t="s">
        <v>3051</v>
      </c>
    </row>
    <row r="44" spans="1:55" x14ac:dyDescent="0.2">
      <c r="A44" s="184" t="s">
        <v>783</v>
      </c>
      <c r="B44" s="184" t="s">
        <v>783</v>
      </c>
      <c r="C44" s="184" t="s">
        <v>740</v>
      </c>
      <c r="D44" s="185" t="s">
        <v>712</v>
      </c>
      <c r="E44" s="184" t="s">
        <v>784</v>
      </c>
      <c r="F44" s="184" t="s">
        <v>3062</v>
      </c>
      <c r="G44" s="186">
        <f>IF(ALECA_Input!$F$13="ICAO (3000ft)",'Aircraft Calc'!C$215,'Aircraft Calc'!G$215)</f>
        <v>0.4</v>
      </c>
      <c r="H44" s="186">
        <f>IF(ALECA_Input!$F$13="ICAO (3000ft)",'Aircraft Calc'!D$215,'Aircraft Calc'!H$215)</f>
        <v>0.5</v>
      </c>
      <c r="I44" s="186">
        <f>IF(ALECA_Input!$F$13="ICAO (3000ft)",'Aircraft Calc'!E$215,'Aircraft Calc'!I$215)</f>
        <v>1.6</v>
      </c>
      <c r="J44" s="186">
        <v>1</v>
      </c>
      <c r="K44" s="187">
        <f t="shared" si="1"/>
        <v>20.614799999999999</v>
      </c>
      <c r="L44" s="187">
        <f t="shared" si="2"/>
        <v>0.43286996400000005</v>
      </c>
      <c r="M44" s="187">
        <f t="shared" si="3"/>
        <v>9.7481520000000012E-3</v>
      </c>
      <c r="N44" s="187">
        <f t="shared" si="4"/>
        <v>3.6611651999999995E-2</v>
      </c>
      <c r="O44" s="187">
        <f t="shared" si="5"/>
        <v>3.6464631840000005E-3</v>
      </c>
      <c r="P44" s="188">
        <f t="shared" si="6"/>
        <v>2.431048608E+16</v>
      </c>
      <c r="Q44" s="187">
        <f t="shared" si="7"/>
        <v>1740</v>
      </c>
      <c r="R44" s="219">
        <f t="shared" si="8"/>
        <v>12.353999999999999</v>
      </c>
      <c r="S44" s="219">
        <f t="shared" si="9"/>
        <v>4.9590000000000005</v>
      </c>
      <c r="T44" s="219">
        <f t="shared" si="10"/>
        <v>44.352599999999995</v>
      </c>
      <c r="U44" s="219">
        <f t="shared" si="11"/>
        <v>0.18249903000000001</v>
      </c>
      <c r="V44" s="188">
        <f t="shared" si="12"/>
        <v>5673374400000000</v>
      </c>
      <c r="W44" s="323">
        <v>0.25740000000000002</v>
      </c>
      <c r="X44" s="323">
        <v>0.21659999999999999</v>
      </c>
      <c r="Y44" s="323">
        <v>8.2699999999999996E-2</v>
      </c>
      <c r="Z44" s="323">
        <v>2.9000000000000001E-2</v>
      </c>
      <c r="AA44" s="323">
        <v>32.340000000000003</v>
      </c>
      <c r="AB44" s="323">
        <v>24.63</v>
      </c>
      <c r="AC44" s="323">
        <v>9.1999999999999993</v>
      </c>
      <c r="AD44" s="323">
        <v>7.1</v>
      </c>
      <c r="AE44" s="323">
        <v>0.26</v>
      </c>
      <c r="AF44" s="323">
        <v>0.3</v>
      </c>
      <c r="AG44" s="323">
        <v>0.78</v>
      </c>
      <c r="AH44" s="323">
        <v>2.85</v>
      </c>
      <c r="AI44" s="323">
        <v>0.74</v>
      </c>
      <c r="AJ44" s="323">
        <v>0.85</v>
      </c>
      <c r="AK44" s="323">
        <v>3.34</v>
      </c>
      <c r="AL44" s="323">
        <v>25.49</v>
      </c>
      <c r="AM44" s="323">
        <v>5.2359999999999997E-2</v>
      </c>
      <c r="AN44" s="323">
        <v>5.8799999999999998E-2</v>
      </c>
      <c r="AO44" s="323">
        <v>0.1575</v>
      </c>
      <c r="AP44" s="323">
        <v>3.8339999999999999E-2</v>
      </c>
      <c r="AQ44" s="323">
        <v>0.13122</v>
      </c>
      <c r="AR44" s="323">
        <v>0.13056000000000001</v>
      </c>
      <c r="AS44" s="323">
        <v>0.25033500000000003</v>
      </c>
      <c r="AT44" s="323">
        <v>0.10488450000000001</v>
      </c>
      <c r="AU44" s="190">
        <v>312000000000000</v>
      </c>
      <c r="AV44" s="190">
        <v>353600000000000</v>
      </c>
      <c r="AW44" s="190">
        <v>2529900000000000</v>
      </c>
      <c r="AX44" s="190">
        <v>3260560000000000</v>
      </c>
      <c r="AY44" s="203">
        <v>1.6</v>
      </c>
      <c r="AZ44" s="239">
        <v>22.24</v>
      </c>
      <c r="BB44" s="204">
        <v>38260</v>
      </c>
      <c r="BC44" s="203" t="s">
        <v>3051</v>
      </c>
    </row>
    <row r="45" spans="1:55" x14ac:dyDescent="0.2">
      <c r="A45" s="184" t="s">
        <v>785</v>
      </c>
      <c r="B45" s="184" t="s">
        <v>785</v>
      </c>
      <c r="C45" s="184" t="s">
        <v>740</v>
      </c>
      <c r="D45" s="185" t="s">
        <v>712</v>
      </c>
      <c r="E45" s="184" t="s">
        <v>786</v>
      </c>
      <c r="F45" s="184" t="s">
        <v>3063</v>
      </c>
      <c r="G45" s="186">
        <f>IF(ALECA_Input!$F$13="ICAO (3000ft)",'Aircraft Calc'!C$215,'Aircraft Calc'!G$215)</f>
        <v>0.4</v>
      </c>
      <c r="H45" s="186">
        <f>IF(ALECA_Input!$F$13="ICAO (3000ft)",'Aircraft Calc'!D$215,'Aircraft Calc'!H$215)</f>
        <v>0.5</v>
      </c>
      <c r="I45" s="186">
        <f>IF(ALECA_Input!$F$13="ICAO (3000ft)",'Aircraft Calc'!E$215,'Aircraft Calc'!I$215)</f>
        <v>1.6</v>
      </c>
      <c r="J45" s="186">
        <v>1</v>
      </c>
      <c r="K45" s="187">
        <f t="shared" si="1"/>
        <v>16.5336</v>
      </c>
      <c r="L45" s="187">
        <f t="shared" si="2"/>
        <v>0.236227512</v>
      </c>
      <c r="M45" s="187">
        <f t="shared" si="3"/>
        <v>1.0336704E-2</v>
      </c>
      <c r="N45" s="187">
        <f t="shared" si="4"/>
        <v>3.9334775999999995E-2</v>
      </c>
      <c r="O45" s="187">
        <f t="shared" si="5"/>
        <v>6.7545118559999996E-3</v>
      </c>
      <c r="P45" s="188">
        <f t="shared" si="6"/>
        <v>1.1832200536912829E+17</v>
      </c>
      <c r="Q45" s="187">
        <f t="shared" si="7"/>
        <v>1500</v>
      </c>
      <c r="R45" s="219">
        <f t="shared" si="8"/>
        <v>9.51</v>
      </c>
      <c r="S45" s="219">
        <f t="shared" si="9"/>
        <v>5.85</v>
      </c>
      <c r="T45" s="219">
        <f t="shared" si="10"/>
        <v>60.855000000000004</v>
      </c>
      <c r="U45" s="219">
        <f t="shared" si="11"/>
        <v>0.31203449999999999</v>
      </c>
      <c r="V45" s="188">
        <f t="shared" si="12"/>
        <v>1.1475556667320604E+16</v>
      </c>
      <c r="W45" s="323">
        <v>0.2056</v>
      </c>
      <c r="X45" s="323">
        <v>0.17319999999999999</v>
      </c>
      <c r="Y45" s="323">
        <v>6.6699999999999995E-2</v>
      </c>
      <c r="Z45" s="323">
        <v>2.5000000000000001E-2</v>
      </c>
      <c r="AA45" s="323">
        <v>19.91</v>
      </c>
      <c r="AB45" s="323">
        <v>15.97</v>
      </c>
      <c r="AC45" s="323">
        <v>8.59</v>
      </c>
      <c r="AD45" s="323">
        <v>6.34</v>
      </c>
      <c r="AE45" s="323">
        <v>0.35</v>
      </c>
      <c r="AF45" s="323">
        <v>0.4</v>
      </c>
      <c r="AG45" s="323">
        <v>1.02</v>
      </c>
      <c r="AH45" s="323">
        <v>3.9</v>
      </c>
      <c r="AI45" s="323">
        <v>1.03</v>
      </c>
      <c r="AJ45" s="323">
        <v>1.33</v>
      </c>
      <c r="AK45" s="323">
        <v>4.2699999999999996</v>
      </c>
      <c r="AL45" s="323">
        <v>40.57</v>
      </c>
      <c r="AM45" s="323">
        <v>0.35199999999999998</v>
      </c>
      <c r="AN45" s="323">
        <v>0.36</v>
      </c>
      <c r="AO45" s="323">
        <v>0.252</v>
      </c>
      <c r="AP45" s="323">
        <v>0.13500000000000001</v>
      </c>
      <c r="AQ45" s="323">
        <v>0.44120999999999999</v>
      </c>
      <c r="AR45" s="323">
        <v>0.43935999999999997</v>
      </c>
      <c r="AS45" s="323">
        <v>0.35833500000000001</v>
      </c>
      <c r="AT45" s="323">
        <v>0.20802300000000001</v>
      </c>
      <c r="AU45" s="190">
        <v>2315420183185209.5</v>
      </c>
      <c r="AV45" s="190">
        <v>2974338771073368</v>
      </c>
      <c r="AW45" s="190">
        <v>1.428069274155453E+16</v>
      </c>
      <c r="AX45" s="190">
        <v>7650371111547069</v>
      </c>
      <c r="AY45" s="203">
        <v>0.9</v>
      </c>
      <c r="AZ45" s="239">
        <v>16.46</v>
      </c>
      <c r="BB45" s="204">
        <v>38260</v>
      </c>
      <c r="BC45" s="203" t="s">
        <v>3051</v>
      </c>
    </row>
    <row r="46" spans="1:55" x14ac:dyDescent="0.2">
      <c r="A46" s="184" t="s">
        <v>787</v>
      </c>
      <c r="B46" s="184" t="s">
        <v>787</v>
      </c>
      <c r="C46" s="184" t="s">
        <v>740</v>
      </c>
      <c r="D46" s="185" t="s">
        <v>712</v>
      </c>
      <c r="E46" s="184" t="s">
        <v>306</v>
      </c>
      <c r="F46" s="184" t="s">
        <v>3064</v>
      </c>
      <c r="G46" s="186">
        <f>IF(ALECA_Input!$F$13="ICAO (3000ft)",'Aircraft Calc'!C$215,'Aircraft Calc'!G$215)</f>
        <v>0.4</v>
      </c>
      <c r="H46" s="186">
        <f>IF(ALECA_Input!$F$13="ICAO (3000ft)",'Aircraft Calc'!D$215,'Aircraft Calc'!H$215)</f>
        <v>0.5</v>
      </c>
      <c r="I46" s="186">
        <f>IF(ALECA_Input!$F$13="ICAO (3000ft)",'Aircraft Calc'!E$215,'Aircraft Calc'!I$215)</f>
        <v>1.6</v>
      </c>
      <c r="J46" s="186">
        <v>1</v>
      </c>
      <c r="K46" s="187">
        <f t="shared" si="1"/>
        <v>18.969000000000001</v>
      </c>
      <c r="L46" s="187">
        <f t="shared" si="2"/>
        <v>0.32091396</v>
      </c>
      <c r="M46" s="187">
        <f t="shared" si="3"/>
        <v>1.031115E-2</v>
      </c>
      <c r="N46" s="187">
        <f t="shared" si="4"/>
        <v>3.8973630000000002E-2</v>
      </c>
      <c r="O46" s="187">
        <f t="shared" si="5"/>
        <v>8.0286776399999989E-3</v>
      </c>
      <c r="P46" s="188">
        <f t="shared" si="6"/>
        <v>1.4176795814397976E+17</v>
      </c>
      <c r="Q46" s="187">
        <f t="shared" si="7"/>
        <v>1464.0000000000002</v>
      </c>
      <c r="R46" s="219">
        <f t="shared" si="8"/>
        <v>9.8527200000000015</v>
      </c>
      <c r="S46" s="219">
        <f t="shared" si="9"/>
        <v>4.9190400000000007</v>
      </c>
      <c r="T46" s="219">
        <f t="shared" si="10"/>
        <v>47.536080000000005</v>
      </c>
      <c r="U46" s="219">
        <f t="shared" si="11"/>
        <v>0.32162791680000002</v>
      </c>
      <c r="V46" s="188">
        <f t="shared" si="12"/>
        <v>1.2444603674783234E+16</v>
      </c>
      <c r="W46" s="323">
        <v>0.24</v>
      </c>
      <c r="X46" s="323">
        <v>0.20030000000000001</v>
      </c>
      <c r="Y46" s="323">
        <v>7.4999999999999997E-2</v>
      </c>
      <c r="Z46" s="323">
        <v>2.4400000000000002E-2</v>
      </c>
      <c r="AA46" s="323">
        <v>24.63</v>
      </c>
      <c r="AB46" s="323">
        <v>19.239999999999998</v>
      </c>
      <c r="AC46" s="323">
        <v>8.81</v>
      </c>
      <c r="AD46" s="323">
        <v>6.73</v>
      </c>
      <c r="AE46" s="323">
        <v>0.3</v>
      </c>
      <c r="AF46" s="323">
        <v>0.35</v>
      </c>
      <c r="AG46" s="323">
        <v>0.9</v>
      </c>
      <c r="AH46" s="323">
        <v>3.36</v>
      </c>
      <c r="AI46" s="323">
        <v>0.85</v>
      </c>
      <c r="AJ46" s="323">
        <v>1.07</v>
      </c>
      <c r="AK46" s="323">
        <v>3.84</v>
      </c>
      <c r="AL46" s="323">
        <v>32.47</v>
      </c>
      <c r="AM46" s="323">
        <v>0.374</v>
      </c>
      <c r="AN46" s="323">
        <v>0.38400000000000001</v>
      </c>
      <c r="AO46" s="323">
        <v>0.26600000000000001</v>
      </c>
      <c r="AP46" s="323">
        <v>0.15</v>
      </c>
      <c r="AQ46" s="323">
        <v>0.45745999999999998</v>
      </c>
      <c r="AR46" s="323">
        <v>0.45956000000000002</v>
      </c>
      <c r="AS46" s="323">
        <v>0.36558499999999999</v>
      </c>
      <c r="AT46" s="323">
        <v>0.2196912</v>
      </c>
      <c r="AU46" s="190">
        <v>2460133944634285</v>
      </c>
      <c r="AV46" s="190">
        <v>3172628022478259</v>
      </c>
      <c r="AW46" s="190">
        <v>1.5074064560529782E+16</v>
      </c>
      <c r="AX46" s="190">
        <v>8500412346163410</v>
      </c>
      <c r="AY46" s="203">
        <v>1.2</v>
      </c>
      <c r="AZ46" s="239">
        <v>18.904</v>
      </c>
      <c r="BB46" s="204">
        <v>38260</v>
      </c>
      <c r="BC46" s="203" t="s">
        <v>3051</v>
      </c>
    </row>
    <row r="47" spans="1:55" x14ac:dyDescent="0.2">
      <c r="A47" s="184" t="s">
        <v>788</v>
      </c>
      <c r="B47" s="184" t="s">
        <v>788</v>
      </c>
      <c r="C47" s="184" t="s">
        <v>740</v>
      </c>
      <c r="D47" s="185" t="s">
        <v>712</v>
      </c>
      <c r="E47" s="184" t="s">
        <v>789</v>
      </c>
      <c r="F47" s="184" t="s">
        <v>3065</v>
      </c>
      <c r="G47" s="186">
        <f>IF(ALECA_Input!$F$13="ICAO (3000ft)",'Aircraft Calc'!C$215,'Aircraft Calc'!G$215)</f>
        <v>0.4</v>
      </c>
      <c r="H47" s="186">
        <f>IF(ALECA_Input!$F$13="ICAO (3000ft)",'Aircraft Calc'!D$215,'Aircraft Calc'!H$215)</f>
        <v>0.5</v>
      </c>
      <c r="I47" s="186">
        <f>IF(ALECA_Input!$F$13="ICAO (3000ft)",'Aircraft Calc'!E$215,'Aircraft Calc'!I$215)</f>
        <v>1.6</v>
      </c>
      <c r="J47" s="186">
        <v>1</v>
      </c>
      <c r="K47" s="187">
        <f t="shared" si="1"/>
        <v>15.483000000000002</v>
      </c>
      <c r="L47" s="187">
        <f t="shared" si="2"/>
        <v>0.20775312600000001</v>
      </c>
      <c r="M47" s="187">
        <f t="shared" si="3"/>
        <v>1.0198476000000001E-2</v>
      </c>
      <c r="N47" s="187">
        <f t="shared" si="4"/>
        <v>3.9249966000000011E-2</v>
      </c>
      <c r="O47" s="187">
        <f t="shared" si="5"/>
        <v>6.2380864800000019E-3</v>
      </c>
      <c r="P47" s="188">
        <f t="shared" si="6"/>
        <v>1.1127759499405782E+17</v>
      </c>
      <c r="Q47" s="187">
        <f t="shared" si="7"/>
        <v>1464.0000000000002</v>
      </c>
      <c r="R47" s="219">
        <f t="shared" si="8"/>
        <v>9.0182400000000023</v>
      </c>
      <c r="S47" s="219">
        <f t="shared" si="9"/>
        <v>6.0902400000000014</v>
      </c>
      <c r="T47" s="219">
        <f t="shared" si="10"/>
        <v>65.33832000000001</v>
      </c>
      <c r="U47" s="219">
        <f t="shared" si="11"/>
        <v>0.30689422080000006</v>
      </c>
      <c r="V47" s="188">
        <f t="shared" si="12"/>
        <v>1.120014330730491E+16</v>
      </c>
      <c r="W47" s="323">
        <v>0.18959999999999999</v>
      </c>
      <c r="X47" s="323">
        <v>0.16089999999999999</v>
      </c>
      <c r="Y47" s="323">
        <v>6.3600000000000004E-2</v>
      </c>
      <c r="Z47" s="323">
        <v>2.4400000000000002E-2</v>
      </c>
      <c r="AA47" s="323">
        <v>18.399999999999999</v>
      </c>
      <c r="AB47" s="323">
        <v>14.93</v>
      </c>
      <c r="AC47" s="323">
        <v>8.51</v>
      </c>
      <c r="AD47" s="323">
        <v>6.16</v>
      </c>
      <c r="AE47" s="323">
        <v>0.36</v>
      </c>
      <c r="AF47" s="323">
        <v>0.42</v>
      </c>
      <c r="AG47" s="323">
        <v>1.07</v>
      </c>
      <c r="AH47" s="323">
        <v>4.16</v>
      </c>
      <c r="AI47" s="323">
        <v>1.1299999999999999</v>
      </c>
      <c r="AJ47" s="323">
        <v>1.45</v>
      </c>
      <c r="AK47" s="323">
        <v>4.4400000000000004</v>
      </c>
      <c r="AL47" s="323">
        <v>44.63</v>
      </c>
      <c r="AM47" s="323">
        <v>0.34100000000000003</v>
      </c>
      <c r="AN47" s="323">
        <v>0.34799999999999998</v>
      </c>
      <c r="AO47" s="323">
        <v>0.252</v>
      </c>
      <c r="AP47" s="323">
        <v>0.13500000000000001</v>
      </c>
      <c r="AQ47" s="323">
        <v>0.43136000000000002</v>
      </c>
      <c r="AR47" s="323">
        <v>0.42887999999999998</v>
      </c>
      <c r="AS47" s="323">
        <v>0.36114750000000001</v>
      </c>
      <c r="AT47" s="323">
        <v>0.20962720000000001</v>
      </c>
      <c r="AU47" s="190">
        <v>2243063302460672</v>
      </c>
      <c r="AV47" s="190">
        <v>2875194145370922.5</v>
      </c>
      <c r="AW47" s="190">
        <v>1.428069274155453E+16</v>
      </c>
      <c r="AX47" s="190">
        <v>7650371111547069</v>
      </c>
      <c r="AY47" s="203">
        <v>0.8</v>
      </c>
      <c r="AZ47" s="239">
        <v>15.568</v>
      </c>
      <c r="BB47" s="204">
        <v>38260</v>
      </c>
      <c r="BC47" s="203" t="s">
        <v>3051</v>
      </c>
    </row>
    <row r="48" spans="1:55" x14ac:dyDescent="0.2">
      <c r="A48" s="184" t="s">
        <v>790</v>
      </c>
      <c r="B48" s="184" t="s">
        <v>790</v>
      </c>
      <c r="C48" s="184" t="s">
        <v>740</v>
      </c>
      <c r="D48" s="185" t="s">
        <v>712</v>
      </c>
      <c r="E48" s="184" t="s">
        <v>791</v>
      </c>
      <c r="F48" s="184" t="s">
        <v>791</v>
      </c>
      <c r="G48" s="186">
        <f>IF(ALECA_Input!$F$13="ICAO (3000ft)",'Aircraft Calc'!C$215,'Aircraft Calc'!G$215)</f>
        <v>0.4</v>
      </c>
      <c r="H48" s="186">
        <f>IF(ALECA_Input!$F$13="ICAO (3000ft)",'Aircraft Calc'!D$215,'Aircraft Calc'!H$215)</f>
        <v>0.5</v>
      </c>
      <c r="I48" s="186">
        <f>IF(ALECA_Input!$F$13="ICAO (3000ft)",'Aircraft Calc'!E$215,'Aircraft Calc'!I$215)</f>
        <v>1.6</v>
      </c>
      <c r="J48" s="186">
        <v>1</v>
      </c>
      <c r="K48" s="187">
        <f t="shared" si="1"/>
        <v>19.992000000000001</v>
      </c>
      <c r="L48" s="187">
        <f t="shared" si="2"/>
        <v>0.49716959999999999</v>
      </c>
      <c r="M48" s="187">
        <f t="shared" si="3"/>
        <v>9.8582400000000025E-3</v>
      </c>
      <c r="N48" s="187">
        <f t="shared" si="4"/>
        <v>4.310640000000001E-2</v>
      </c>
      <c r="O48" s="187">
        <f t="shared" si="5"/>
        <v>8.9484859199999989E-3</v>
      </c>
      <c r="P48" s="188">
        <f t="shared" si="6"/>
        <v>1.6264391063346493E+17</v>
      </c>
      <c r="Q48" s="187">
        <f t="shared" si="7"/>
        <v>1619.9999999999998</v>
      </c>
      <c r="R48" s="219">
        <f t="shared" si="8"/>
        <v>9.7199999999999989</v>
      </c>
      <c r="S48" s="219">
        <f t="shared" si="9"/>
        <v>4.8599999999999994</v>
      </c>
      <c r="T48" s="219">
        <f t="shared" si="10"/>
        <v>40.985999999999997</v>
      </c>
      <c r="U48" s="219">
        <f t="shared" si="11"/>
        <v>0.37660139999999998</v>
      </c>
      <c r="V48" s="188">
        <f t="shared" si="12"/>
        <v>1.5147734800863198E+16</v>
      </c>
      <c r="W48" s="323">
        <v>0.25600000000000001</v>
      </c>
      <c r="X48" s="323">
        <v>0.21199999999999999</v>
      </c>
      <c r="Y48" s="323">
        <v>7.8E-2</v>
      </c>
      <c r="Z48" s="323">
        <v>2.7E-2</v>
      </c>
      <c r="AA48" s="323">
        <v>40.200000000000003</v>
      </c>
      <c r="AB48" s="323">
        <v>29.8</v>
      </c>
      <c r="AC48" s="323">
        <v>8.1</v>
      </c>
      <c r="AD48" s="323">
        <v>6</v>
      </c>
      <c r="AE48" s="323">
        <v>0.23</v>
      </c>
      <c r="AF48" s="323">
        <v>0.28000000000000003</v>
      </c>
      <c r="AG48" s="323">
        <v>0.89</v>
      </c>
      <c r="AH48" s="323">
        <v>3</v>
      </c>
      <c r="AI48" s="323">
        <v>0.6</v>
      </c>
      <c r="AJ48" s="323">
        <v>0.9</v>
      </c>
      <c r="AK48" s="323">
        <v>4.5</v>
      </c>
      <c r="AL48" s="323">
        <v>25.3</v>
      </c>
      <c r="AM48" s="323">
        <v>0.40699999999999997</v>
      </c>
      <c r="AN48" s="323">
        <v>0.40799999999999997</v>
      </c>
      <c r="AO48" s="323">
        <v>0.29399999999999998</v>
      </c>
      <c r="AP48" s="323">
        <v>0.16500000000000001</v>
      </c>
      <c r="AQ48" s="323">
        <v>0.48241000000000001</v>
      </c>
      <c r="AR48" s="323">
        <v>0.47824</v>
      </c>
      <c r="AS48" s="323">
        <v>0.3930225</v>
      </c>
      <c r="AT48" s="323">
        <v>0.23247000000000001</v>
      </c>
      <c r="AU48" s="190">
        <v>2677204586807898.5</v>
      </c>
      <c r="AV48" s="190">
        <v>3370917273883150.5</v>
      </c>
      <c r="AW48" s="190">
        <v>1.6660808198480284E+16</v>
      </c>
      <c r="AX48" s="190">
        <v>9350453580779752</v>
      </c>
      <c r="AY48" s="203">
        <v>1.7</v>
      </c>
      <c r="AZ48" s="239">
        <v>22.24</v>
      </c>
      <c r="BA48" s="203">
        <v>2008</v>
      </c>
      <c r="BB48" s="204">
        <v>39937</v>
      </c>
      <c r="BC48" s="203" t="s">
        <v>3051</v>
      </c>
    </row>
    <row r="49" spans="1:55" x14ac:dyDescent="0.2">
      <c r="A49" s="184" t="s">
        <v>792</v>
      </c>
      <c r="B49" s="184" t="s">
        <v>792</v>
      </c>
      <c r="C49" s="184" t="s">
        <v>793</v>
      </c>
      <c r="D49" s="185" t="s">
        <v>712</v>
      </c>
      <c r="E49" s="184" t="s">
        <v>263</v>
      </c>
      <c r="F49" s="184" t="s">
        <v>263</v>
      </c>
      <c r="G49" s="186">
        <f>IF(ALECA_Input!$F$13="ICAO (3000ft)",'Aircraft Calc'!C$215,'Aircraft Calc'!G$215)</f>
        <v>0.4</v>
      </c>
      <c r="H49" s="186">
        <f>IF(ALECA_Input!$F$13="ICAO (3000ft)",'Aircraft Calc'!D$215,'Aircraft Calc'!H$215)</f>
        <v>0.5</v>
      </c>
      <c r="I49" s="186">
        <f>IF(ALECA_Input!$F$13="ICAO (3000ft)",'Aircraft Calc'!E$215,'Aircraft Calc'!I$215)</f>
        <v>1.6</v>
      </c>
      <c r="J49" s="186">
        <v>1</v>
      </c>
      <c r="K49" s="187">
        <f t="shared" si="1"/>
        <v>8.9160000000000004</v>
      </c>
      <c r="L49" s="187">
        <f t="shared" si="2"/>
        <v>8.1625200000000009E-2</v>
      </c>
      <c r="M49" s="187">
        <f t="shared" si="3"/>
        <v>1.9572E-4</v>
      </c>
      <c r="N49" s="187">
        <f t="shared" si="4"/>
        <v>4.9104000000000002E-2</v>
      </c>
      <c r="O49" s="187">
        <f t="shared" si="5"/>
        <v>9.8327935091156661E-4</v>
      </c>
      <c r="P49" s="188">
        <f t="shared" si="6"/>
        <v>5031299976545594</v>
      </c>
      <c r="Q49" s="187">
        <f t="shared" si="7"/>
        <v>840</v>
      </c>
      <c r="R49" s="219">
        <f t="shared" si="8"/>
        <v>1.8480000000000001</v>
      </c>
      <c r="S49" s="219">
        <f t="shared" si="9"/>
        <v>1.302</v>
      </c>
      <c r="T49" s="219">
        <f t="shared" si="10"/>
        <v>38.22</v>
      </c>
      <c r="U49" s="219">
        <f t="shared" si="11"/>
        <v>5.4947679703764275E-2</v>
      </c>
      <c r="V49" s="188">
        <f t="shared" si="12"/>
        <v>327999160778181.56</v>
      </c>
      <c r="W49" s="323">
        <v>0.106</v>
      </c>
      <c r="X49" s="323">
        <v>9.4E-2</v>
      </c>
      <c r="Y49" s="323">
        <v>3.6999999999999998E-2</v>
      </c>
      <c r="Z49" s="323">
        <v>1.4E-2</v>
      </c>
      <c r="AA49" s="323">
        <v>12.8</v>
      </c>
      <c r="AB49" s="323">
        <v>11.1</v>
      </c>
      <c r="AC49" s="323">
        <v>5</v>
      </c>
      <c r="AD49" s="323">
        <v>2.2000000000000002</v>
      </c>
      <c r="AE49" s="323">
        <v>0.01</v>
      </c>
      <c r="AF49" s="323">
        <v>0.01</v>
      </c>
      <c r="AG49" s="323">
        <v>0.04</v>
      </c>
      <c r="AH49" s="323">
        <v>1.55</v>
      </c>
      <c r="AI49" s="323">
        <v>3</v>
      </c>
      <c r="AJ49" s="323">
        <v>4</v>
      </c>
      <c r="AK49" s="323">
        <v>8.5</v>
      </c>
      <c r="AL49" s="323">
        <v>45.5</v>
      </c>
      <c r="AM49" s="323">
        <v>9.8607356646136526E-2</v>
      </c>
      <c r="AN49" s="323">
        <v>9.2644998907069911E-2</v>
      </c>
      <c r="AO49" s="323">
        <v>6.0740930984961054E-3</v>
      </c>
      <c r="AP49" s="323">
        <v>6.8904044092431855E-3</v>
      </c>
      <c r="AQ49" s="323">
        <v>0.1487173566461365</v>
      </c>
      <c r="AR49" s="323">
        <v>0.14236499890706991</v>
      </c>
      <c r="AS49" s="323">
        <v>5.7284093098496108E-2</v>
      </c>
      <c r="AT49" s="323">
        <v>6.541390440924319E-2</v>
      </c>
      <c r="AU49" s="190">
        <v>648629158491496.38</v>
      </c>
      <c r="AV49" s="190">
        <v>765437811653743.88</v>
      </c>
      <c r="AW49" s="190">
        <v>344215306441348.38</v>
      </c>
      <c r="AX49" s="190">
        <v>390475191402597.13</v>
      </c>
      <c r="AY49" s="203">
        <v>0.3</v>
      </c>
      <c r="AZ49" s="239">
        <v>8.4499999999999993</v>
      </c>
      <c r="BA49" s="203">
        <v>1991</v>
      </c>
      <c r="BB49" s="204">
        <v>39636</v>
      </c>
      <c r="BC49" s="203" t="s">
        <v>794</v>
      </c>
    </row>
    <row r="50" spans="1:55" x14ac:dyDescent="0.2">
      <c r="A50" s="184" t="s">
        <v>795</v>
      </c>
      <c r="B50" s="184" t="s">
        <v>795</v>
      </c>
      <c r="C50" s="184" t="s">
        <v>793</v>
      </c>
      <c r="D50" s="185" t="s">
        <v>712</v>
      </c>
      <c r="E50" s="184" t="s">
        <v>796</v>
      </c>
      <c r="F50" s="184" t="s">
        <v>796</v>
      </c>
      <c r="G50" s="186">
        <f>IF(ALECA_Input!$F$13="ICAO (3000ft)",'Aircraft Calc'!C$215,'Aircraft Calc'!G$215)</f>
        <v>0.4</v>
      </c>
      <c r="H50" s="186">
        <f>IF(ALECA_Input!$F$13="ICAO (3000ft)",'Aircraft Calc'!D$215,'Aircraft Calc'!H$215)</f>
        <v>0.5</v>
      </c>
      <c r="I50" s="186">
        <f>IF(ALECA_Input!$F$13="ICAO (3000ft)",'Aircraft Calc'!E$215,'Aircraft Calc'!I$215)</f>
        <v>1.6</v>
      </c>
      <c r="J50" s="186">
        <v>1</v>
      </c>
      <c r="K50" s="187">
        <f t="shared" si="1"/>
        <v>9.911999999999999</v>
      </c>
      <c r="L50" s="187">
        <f t="shared" si="2"/>
        <v>7.7368799999999988E-2</v>
      </c>
      <c r="M50" s="187">
        <f t="shared" si="3"/>
        <v>1.303296E-2</v>
      </c>
      <c r="N50" s="187">
        <f t="shared" si="4"/>
        <v>6.1648800000000004E-2</v>
      </c>
      <c r="O50" s="187">
        <f t="shared" si="5"/>
        <v>1.8595204987521422E-3</v>
      </c>
      <c r="P50" s="188">
        <f t="shared" si="6"/>
        <v>8628160426928488</v>
      </c>
      <c r="Q50" s="187">
        <f t="shared" si="7"/>
        <v>960</v>
      </c>
      <c r="R50" s="219">
        <f t="shared" si="8"/>
        <v>0.57599999999999996</v>
      </c>
      <c r="S50" s="219">
        <f t="shared" si="9"/>
        <v>6.3359999999999994</v>
      </c>
      <c r="T50" s="219">
        <f t="shared" si="10"/>
        <v>55.583999999999996</v>
      </c>
      <c r="U50" s="219">
        <f t="shared" si="11"/>
        <v>9.2709508232873467E-2</v>
      </c>
      <c r="V50" s="188">
        <f t="shared" si="12"/>
        <v>374856183746493.25</v>
      </c>
      <c r="W50" s="323">
        <v>0.123</v>
      </c>
      <c r="X50" s="323">
        <v>0.104</v>
      </c>
      <c r="Y50" s="323">
        <v>0.04</v>
      </c>
      <c r="Z50" s="323">
        <v>1.6E-2</v>
      </c>
      <c r="AA50" s="323">
        <v>16.899999999999999</v>
      </c>
      <c r="AB50" s="323">
        <v>7.7</v>
      </c>
      <c r="AC50" s="323">
        <v>0.9</v>
      </c>
      <c r="AD50" s="323">
        <v>0.6</v>
      </c>
      <c r="AE50" s="323">
        <v>1.08</v>
      </c>
      <c r="AF50" s="323">
        <v>0.94</v>
      </c>
      <c r="AG50" s="323">
        <v>1.8</v>
      </c>
      <c r="AH50" s="323">
        <v>6.6</v>
      </c>
      <c r="AI50" s="323">
        <v>2.9</v>
      </c>
      <c r="AJ50" s="323">
        <v>3.6</v>
      </c>
      <c r="AK50" s="323">
        <v>10.9</v>
      </c>
      <c r="AL50" s="323">
        <v>57.9</v>
      </c>
      <c r="AM50" s="323">
        <v>4.6902859065581892E-2</v>
      </c>
      <c r="AN50" s="323">
        <v>4.5497965863828094E-2</v>
      </c>
      <c r="AO50" s="323">
        <v>3.0074709712343883E-2</v>
      </c>
      <c r="AP50" s="323">
        <v>6.8904044092431855E-3</v>
      </c>
      <c r="AQ50" s="323">
        <v>0.2200628590655819</v>
      </c>
      <c r="AR50" s="323">
        <v>0.1658979658638281</v>
      </c>
      <c r="AS50" s="323">
        <v>0.18028470971234389</v>
      </c>
      <c r="AT50" s="323">
        <v>9.6572404409243195E-2</v>
      </c>
      <c r="AU50" s="190">
        <v>308522234458919.63</v>
      </c>
      <c r="AV50" s="190">
        <v>375906566315990.25</v>
      </c>
      <c r="AW50" s="190">
        <v>1704316224973924</v>
      </c>
      <c r="AX50" s="190">
        <v>390475191402597.13</v>
      </c>
      <c r="AY50" s="203">
        <v>0.2</v>
      </c>
      <c r="AZ50" s="239">
        <v>8.74</v>
      </c>
      <c r="BA50" s="203">
        <v>2005</v>
      </c>
      <c r="BB50" s="204">
        <v>39938</v>
      </c>
      <c r="BC50" s="203" t="s">
        <v>724</v>
      </c>
    </row>
    <row r="51" spans="1:55" x14ac:dyDescent="0.2">
      <c r="A51" s="184" t="s">
        <v>797</v>
      </c>
      <c r="B51" s="184" t="s">
        <v>797</v>
      </c>
      <c r="C51" s="184" t="s">
        <v>793</v>
      </c>
      <c r="D51" s="185" t="s">
        <v>712</v>
      </c>
      <c r="E51" s="184" t="s">
        <v>798</v>
      </c>
      <c r="F51" s="184" t="s">
        <v>798</v>
      </c>
      <c r="G51" s="186">
        <f>IF(ALECA_Input!$F$13="ICAO (3000ft)",'Aircraft Calc'!C$215,'Aircraft Calc'!G$215)</f>
        <v>0.4</v>
      </c>
      <c r="H51" s="186">
        <f>IF(ALECA_Input!$F$13="ICAO (3000ft)",'Aircraft Calc'!D$215,'Aircraft Calc'!H$215)</f>
        <v>0.5</v>
      </c>
      <c r="I51" s="186">
        <f>IF(ALECA_Input!$F$13="ICAO (3000ft)",'Aircraft Calc'!E$215,'Aircraft Calc'!I$215)</f>
        <v>1.6</v>
      </c>
      <c r="J51" s="186">
        <v>1</v>
      </c>
      <c r="K51" s="187">
        <f t="shared" si="1"/>
        <v>9.39</v>
      </c>
      <c r="L51" s="187">
        <f t="shared" si="2"/>
        <v>8.4264600000000009E-2</v>
      </c>
      <c r="M51" s="187">
        <f t="shared" si="3"/>
        <v>3.9342000000000001E-4</v>
      </c>
      <c r="N51" s="187">
        <f t="shared" si="4"/>
        <v>5.6919600000000001E-2</v>
      </c>
      <c r="O51" s="187">
        <f t="shared" si="5"/>
        <v>1.0461744791641725E-3</v>
      </c>
      <c r="P51" s="188">
        <f t="shared" si="6"/>
        <v>5290815516861538</v>
      </c>
      <c r="Q51" s="187">
        <f t="shared" si="7"/>
        <v>899.99999999999989</v>
      </c>
      <c r="R51" s="219">
        <f t="shared" si="8"/>
        <v>1.98</v>
      </c>
      <c r="S51" s="219">
        <f t="shared" si="9"/>
        <v>1.4039999999999999</v>
      </c>
      <c r="T51" s="219">
        <f t="shared" si="10"/>
        <v>41.219999999999992</v>
      </c>
      <c r="U51" s="219">
        <f t="shared" si="11"/>
        <v>5.8928043968318862E-2</v>
      </c>
      <c r="V51" s="188">
        <f t="shared" si="12"/>
        <v>351427672262337.38</v>
      </c>
      <c r="W51" s="323">
        <v>0.114</v>
      </c>
      <c r="X51" s="323">
        <v>9.7000000000000003E-2</v>
      </c>
      <c r="Y51" s="323">
        <v>3.9E-2</v>
      </c>
      <c r="Z51" s="323">
        <v>1.4999999999999999E-2</v>
      </c>
      <c r="AA51" s="323">
        <v>12.5</v>
      </c>
      <c r="AB51" s="323">
        <v>10.9</v>
      </c>
      <c r="AC51" s="323">
        <v>4.9000000000000004</v>
      </c>
      <c r="AD51" s="323">
        <v>2.2000000000000002</v>
      </c>
      <c r="AE51" s="323">
        <v>0.01</v>
      </c>
      <c r="AF51" s="323">
        <v>0.01</v>
      </c>
      <c r="AG51" s="323">
        <v>0.09</v>
      </c>
      <c r="AH51" s="323">
        <v>1.56</v>
      </c>
      <c r="AI51" s="323">
        <v>3.2</v>
      </c>
      <c r="AJ51" s="323">
        <v>4.2</v>
      </c>
      <c r="AK51" s="323">
        <v>9.6</v>
      </c>
      <c r="AL51" s="323">
        <v>45.8</v>
      </c>
      <c r="AM51" s="323">
        <v>9.8607356646136526E-2</v>
      </c>
      <c r="AN51" s="323">
        <v>9.2644998907069911E-2</v>
      </c>
      <c r="AO51" s="323">
        <v>6.0740930984961054E-3</v>
      </c>
      <c r="AP51" s="323">
        <v>6.8904044092431855E-3</v>
      </c>
      <c r="AQ51" s="323">
        <v>0.1487173566461365</v>
      </c>
      <c r="AR51" s="323">
        <v>0.14236499890706991</v>
      </c>
      <c r="AS51" s="323">
        <v>6.0096593098496104E-2</v>
      </c>
      <c r="AT51" s="323">
        <v>6.5475604409243188E-2</v>
      </c>
      <c r="AU51" s="190">
        <v>648629158491496.38</v>
      </c>
      <c r="AV51" s="190">
        <v>765437811653743.88</v>
      </c>
      <c r="AW51" s="190">
        <v>344215306441348.38</v>
      </c>
      <c r="AX51" s="190">
        <v>390475191402597.13</v>
      </c>
      <c r="AY51" s="203">
        <v>0.3</v>
      </c>
      <c r="AZ51" s="239">
        <v>8.25</v>
      </c>
      <c r="BA51" s="203">
        <v>1991</v>
      </c>
      <c r="BB51" s="204">
        <v>39938</v>
      </c>
      <c r="BC51" s="203" t="s">
        <v>724</v>
      </c>
    </row>
    <row r="52" spans="1:55" x14ac:dyDescent="0.2">
      <c r="A52" s="184" t="s">
        <v>799</v>
      </c>
      <c r="B52" s="184" t="s">
        <v>799</v>
      </c>
      <c r="C52" s="184" t="s">
        <v>793</v>
      </c>
      <c r="D52" s="185" t="s">
        <v>712</v>
      </c>
      <c r="E52" s="184" t="s">
        <v>800</v>
      </c>
      <c r="F52" s="184" t="s">
        <v>800</v>
      </c>
      <c r="G52" s="186">
        <f>IF(ALECA_Input!$F$13="ICAO (3000ft)",'Aircraft Calc'!C$215,'Aircraft Calc'!G$215)</f>
        <v>0.4</v>
      </c>
      <c r="H52" s="186">
        <f>IF(ALECA_Input!$F$13="ICAO (3000ft)",'Aircraft Calc'!D$215,'Aircraft Calc'!H$215)</f>
        <v>0.5</v>
      </c>
      <c r="I52" s="186">
        <f>IF(ALECA_Input!$F$13="ICAO (3000ft)",'Aircraft Calc'!E$215,'Aircraft Calc'!I$215)</f>
        <v>1.6</v>
      </c>
      <c r="J52" s="186">
        <v>1</v>
      </c>
      <c r="K52" s="187">
        <f t="shared" si="1"/>
        <v>12.738</v>
      </c>
      <c r="L52" s="187">
        <f t="shared" si="2"/>
        <v>0.1577694</v>
      </c>
      <c r="M52" s="187">
        <f t="shared" si="3"/>
        <v>8.6937000000000004E-3</v>
      </c>
      <c r="N52" s="187">
        <f t="shared" si="4"/>
        <v>5.0094600000000003E-2</v>
      </c>
      <c r="O52" s="187">
        <f t="shared" si="5"/>
        <v>1.5091017614401855E-3</v>
      </c>
      <c r="P52" s="188">
        <f t="shared" si="6"/>
        <v>3252872410067432</v>
      </c>
      <c r="Q52" s="187">
        <f t="shared" si="7"/>
        <v>1260</v>
      </c>
      <c r="R52" s="219">
        <f t="shared" si="8"/>
        <v>3.024</v>
      </c>
      <c r="S52" s="219">
        <f t="shared" si="9"/>
        <v>2.8727999999999998</v>
      </c>
      <c r="T52" s="219">
        <f t="shared" si="10"/>
        <v>40.446000000000005</v>
      </c>
      <c r="U52" s="219">
        <f t="shared" si="11"/>
        <v>8.7578630524813975E-2</v>
      </c>
      <c r="V52" s="188">
        <f t="shared" si="12"/>
        <v>462640865300072.5</v>
      </c>
      <c r="W52" s="323">
        <v>0.151</v>
      </c>
      <c r="X52" s="323">
        <v>0.13100000000000001</v>
      </c>
      <c r="Y52" s="323">
        <v>5.3999999999999999E-2</v>
      </c>
      <c r="Z52" s="323">
        <v>2.1000000000000001E-2</v>
      </c>
      <c r="AA52" s="323">
        <v>18</v>
      </c>
      <c r="AB52" s="323">
        <v>15.5</v>
      </c>
      <c r="AC52" s="323">
        <v>6.1</v>
      </c>
      <c r="AD52" s="323">
        <v>2.4</v>
      </c>
      <c r="AE52" s="323">
        <v>0.48</v>
      </c>
      <c r="AF52" s="323">
        <v>0.49</v>
      </c>
      <c r="AG52" s="323">
        <v>0.97</v>
      </c>
      <c r="AH52" s="323">
        <v>2.2799999999999998</v>
      </c>
      <c r="AI52" s="323">
        <v>2.1</v>
      </c>
      <c r="AJ52" s="323">
        <v>2.5</v>
      </c>
      <c r="AK52" s="323">
        <v>6.3</v>
      </c>
      <c r="AL52" s="323">
        <v>32.1</v>
      </c>
      <c r="AM52" s="323">
        <v>3.4675227322449549E-2</v>
      </c>
      <c r="AN52" s="323">
        <v>2.6130756352650525E-2</v>
      </c>
      <c r="AO52" s="323">
        <v>5.3708304702376275E-3</v>
      </c>
      <c r="AP52" s="323">
        <v>6.4792496228682486E-3</v>
      </c>
      <c r="AQ52" s="323">
        <v>0.13883522732244954</v>
      </c>
      <c r="AR52" s="323">
        <v>0.11233075635265052</v>
      </c>
      <c r="AS52" s="323">
        <v>0.10889333047023762</v>
      </c>
      <c r="AT52" s="323">
        <v>6.9506849622868239E-2</v>
      </c>
      <c r="AU52" s="190">
        <v>228090117042428.72</v>
      </c>
      <c r="AV52" s="190">
        <v>215893671492111.53</v>
      </c>
      <c r="AW52" s="190">
        <v>304361824255723.75</v>
      </c>
      <c r="AX52" s="190">
        <v>367175289920692.44</v>
      </c>
      <c r="AY52" s="203">
        <v>0.5</v>
      </c>
      <c r="AZ52" s="239">
        <v>10.68</v>
      </c>
      <c r="BA52" s="203">
        <v>1996</v>
      </c>
      <c r="BB52" s="204">
        <v>39938</v>
      </c>
      <c r="BC52" s="203" t="s">
        <v>724</v>
      </c>
    </row>
    <row r="53" spans="1:55" x14ac:dyDescent="0.2">
      <c r="A53" s="184" t="s">
        <v>801</v>
      </c>
      <c r="B53" s="184" t="s">
        <v>801</v>
      </c>
      <c r="C53" s="184" t="s">
        <v>793</v>
      </c>
      <c r="D53" s="185" t="s">
        <v>712</v>
      </c>
      <c r="E53" s="184" t="s">
        <v>802</v>
      </c>
      <c r="F53" s="184" t="s">
        <v>802</v>
      </c>
      <c r="G53" s="186">
        <f>IF(ALECA_Input!$F$13="ICAO (3000ft)",'Aircraft Calc'!C$215,'Aircraft Calc'!G$215)</f>
        <v>0.4</v>
      </c>
      <c r="H53" s="186">
        <f>IF(ALECA_Input!$F$13="ICAO (3000ft)",'Aircraft Calc'!D$215,'Aircraft Calc'!H$215)</f>
        <v>0.5</v>
      </c>
      <c r="I53" s="186">
        <f>IF(ALECA_Input!$F$13="ICAO (3000ft)",'Aircraft Calc'!E$215,'Aircraft Calc'!I$215)</f>
        <v>1.6</v>
      </c>
      <c r="J53" s="186">
        <v>1</v>
      </c>
      <c r="K53" s="187">
        <f t="shared" si="1"/>
        <v>13.782</v>
      </c>
      <c r="L53" s="187">
        <f t="shared" si="2"/>
        <v>0.2131188</v>
      </c>
      <c r="M53" s="187">
        <f t="shared" si="3"/>
        <v>6.38442E-3</v>
      </c>
      <c r="N53" s="187">
        <f t="shared" si="4"/>
        <v>5.8180800000000005E-2</v>
      </c>
      <c r="O53" s="187">
        <f t="shared" si="5"/>
        <v>1.9922883252730312E-3</v>
      </c>
      <c r="P53" s="188">
        <f t="shared" si="6"/>
        <v>7912684062733896</v>
      </c>
      <c r="Q53" s="187">
        <f t="shared" si="7"/>
        <v>1140</v>
      </c>
      <c r="R53" s="219">
        <f t="shared" si="8"/>
        <v>2.3939999999999997</v>
      </c>
      <c r="S53" s="219">
        <f t="shared" si="9"/>
        <v>2.7131999999999996</v>
      </c>
      <c r="T53" s="219">
        <f t="shared" si="10"/>
        <v>37.619999999999997</v>
      </c>
      <c r="U53" s="219">
        <f t="shared" si="11"/>
        <v>8.0409905026537234E-2</v>
      </c>
      <c r="V53" s="188">
        <f t="shared" si="12"/>
        <v>445141718198960.69</v>
      </c>
      <c r="W53" s="323">
        <v>0.17599999999999999</v>
      </c>
      <c r="X53" s="323">
        <v>0.14899999999999999</v>
      </c>
      <c r="Y53" s="323">
        <v>5.2999999999999999E-2</v>
      </c>
      <c r="Z53" s="323">
        <v>1.9E-2</v>
      </c>
      <c r="AA53" s="323">
        <v>23</v>
      </c>
      <c r="AB53" s="323">
        <v>19</v>
      </c>
      <c r="AC53" s="323">
        <v>6.1</v>
      </c>
      <c r="AD53" s="323">
        <v>2.1</v>
      </c>
      <c r="AE53" s="323">
        <v>0.28000000000000003</v>
      </c>
      <c r="AF53" s="323">
        <v>0.31</v>
      </c>
      <c r="AG53" s="323">
        <v>0.75</v>
      </c>
      <c r="AH53" s="323">
        <v>2.38</v>
      </c>
      <c r="AI53" s="323">
        <v>2.2000000000000002</v>
      </c>
      <c r="AJ53" s="323">
        <v>2.4</v>
      </c>
      <c r="AK53" s="323">
        <v>7.5</v>
      </c>
      <c r="AL53" s="323">
        <v>33</v>
      </c>
      <c r="AM53" s="323">
        <v>9.8607356646136526E-2</v>
      </c>
      <c r="AN53" s="323">
        <v>9.2644998907069911E-2</v>
      </c>
      <c r="AO53" s="323">
        <v>6.0740930984961054E-3</v>
      </c>
      <c r="AP53" s="323">
        <v>6.8904044092431855E-3</v>
      </c>
      <c r="AQ53" s="323">
        <v>0.17976735664613652</v>
      </c>
      <c r="AR53" s="323">
        <v>0.1651649989070699</v>
      </c>
      <c r="AS53" s="323">
        <v>9.7221593098496095E-2</v>
      </c>
      <c r="AT53" s="323">
        <v>7.0535004409243193E-2</v>
      </c>
      <c r="AU53" s="190">
        <v>648629158491496.38</v>
      </c>
      <c r="AV53" s="190">
        <v>765437811653743.88</v>
      </c>
      <c r="AW53" s="190">
        <v>344215306441348.38</v>
      </c>
      <c r="AX53" s="190">
        <v>390475191402597.13</v>
      </c>
      <c r="AY53" s="203">
        <v>0.7</v>
      </c>
      <c r="AZ53" s="239">
        <v>12.54</v>
      </c>
      <c r="BA53" s="203">
        <v>2004</v>
      </c>
      <c r="BB53" s="204">
        <v>39938</v>
      </c>
      <c r="BC53" s="203" t="s">
        <v>794</v>
      </c>
    </row>
    <row r="54" spans="1:55" x14ac:dyDescent="0.2">
      <c r="A54" s="184" t="s">
        <v>803</v>
      </c>
      <c r="B54" s="184" t="s">
        <v>803</v>
      </c>
      <c r="C54" s="184" t="s">
        <v>793</v>
      </c>
      <c r="D54" s="185" t="s">
        <v>712</v>
      </c>
      <c r="E54" s="184" t="s">
        <v>804</v>
      </c>
      <c r="F54" s="184" t="s">
        <v>804</v>
      </c>
      <c r="G54" s="186">
        <f>IF(ALECA_Input!$F$13="ICAO (3000ft)",'Aircraft Calc'!C$215,'Aircraft Calc'!G$215)</f>
        <v>0.4</v>
      </c>
      <c r="H54" s="186">
        <f>IF(ALECA_Input!$F$13="ICAO (3000ft)",'Aircraft Calc'!D$215,'Aircraft Calc'!H$215)</f>
        <v>0.5</v>
      </c>
      <c r="I54" s="186">
        <f>IF(ALECA_Input!$F$13="ICAO (3000ft)",'Aircraft Calc'!E$215,'Aircraft Calc'!I$215)</f>
        <v>1.6</v>
      </c>
      <c r="J54" s="186">
        <v>1</v>
      </c>
      <c r="K54" s="187">
        <f t="shared" si="1"/>
        <v>18.648</v>
      </c>
      <c r="L54" s="187">
        <f t="shared" si="2"/>
        <v>0.24088800000000002</v>
      </c>
      <c r="M54" s="187">
        <f t="shared" si="3"/>
        <v>6.5328000000000001E-4</v>
      </c>
      <c r="N54" s="187">
        <f t="shared" si="4"/>
        <v>7.6603199999999996E-2</v>
      </c>
      <c r="O54" s="187">
        <f t="shared" si="5"/>
        <v>4.8267540960000004E-3</v>
      </c>
      <c r="P54" s="188">
        <f t="shared" si="6"/>
        <v>7.6424990400000016E+16</v>
      </c>
      <c r="Q54" s="187">
        <f t="shared" si="7"/>
        <v>1559.9999999999998</v>
      </c>
      <c r="R54" s="219">
        <f t="shared" si="8"/>
        <v>4.2119999999999997</v>
      </c>
      <c r="S54" s="219">
        <f t="shared" si="9"/>
        <v>2.496</v>
      </c>
      <c r="T54" s="219">
        <f t="shared" si="10"/>
        <v>58.499999999999993</v>
      </c>
      <c r="U54" s="219">
        <f t="shared" si="11"/>
        <v>9.454847999999999E-2</v>
      </c>
      <c r="V54" s="188">
        <f t="shared" si="12"/>
        <v>117499199999999.98</v>
      </c>
      <c r="W54" s="323">
        <v>0.23899999999999999</v>
      </c>
      <c r="X54" s="323">
        <v>0.2</v>
      </c>
      <c r="Y54" s="323">
        <v>7.1999999999999995E-2</v>
      </c>
      <c r="Z54" s="323">
        <v>2.5999999999999999E-2</v>
      </c>
      <c r="AA54" s="323">
        <v>18.399999999999999</v>
      </c>
      <c r="AB54" s="323">
        <v>15.3</v>
      </c>
      <c r="AC54" s="323">
        <v>6.3</v>
      </c>
      <c r="AD54" s="323">
        <v>2.7</v>
      </c>
      <c r="AE54" s="323">
        <v>0.06</v>
      </c>
      <c r="AF54" s="323">
        <v>0.04</v>
      </c>
      <c r="AG54" s="323">
        <v>0.01</v>
      </c>
      <c r="AH54" s="323">
        <v>1.6</v>
      </c>
      <c r="AI54" s="323">
        <v>2.4</v>
      </c>
      <c r="AJ54" s="323">
        <v>3.1</v>
      </c>
      <c r="AK54" s="323">
        <v>6.4</v>
      </c>
      <c r="AL54" s="323">
        <v>37.5</v>
      </c>
      <c r="AM54" s="323">
        <v>0.391206</v>
      </c>
      <c r="AN54" s="323">
        <v>0.262542</v>
      </c>
      <c r="AO54" s="323">
        <v>4.7499999999999999E-3</v>
      </c>
      <c r="AP54" s="323">
        <v>1.7760000000000002E-3</v>
      </c>
      <c r="AQ54" s="323">
        <v>0.44706599999999996</v>
      </c>
      <c r="AR54" s="323">
        <v>0.31454199999999999</v>
      </c>
      <c r="AS54" s="323">
        <v>5.4272500000000001E-2</v>
      </c>
      <c r="AT54" s="323">
        <v>6.0608000000000002E-2</v>
      </c>
      <c r="AU54" s="190">
        <v>6301200000000000</v>
      </c>
      <c r="AV54" s="190">
        <v>5951100000000001</v>
      </c>
      <c r="AW54" s="190">
        <v>661849999999999.88</v>
      </c>
      <c r="AX54" s="190">
        <v>75320000000000</v>
      </c>
      <c r="AY54" s="203">
        <v>0.8</v>
      </c>
      <c r="AZ54" s="239">
        <v>16.100000000000001</v>
      </c>
      <c r="BA54" s="203">
        <v>2009</v>
      </c>
      <c r="BB54" s="204">
        <v>40590</v>
      </c>
      <c r="BC54" s="203" t="s">
        <v>3066</v>
      </c>
    </row>
    <row r="55" spans="1:55" x14ac:dyDescent="0.2">
      <c r="A55" s="184" t="s">
        <v>805</v>
      </c>
      <c r="B55" s="184" t="s">
        <v>805</v>
      </c>
      <c r="C55" s="184" t="s">
        <v>793</v>
      </c>
      <c r="D55" s="185" t="s">
        <v>712</v>
      </c>
      <c r="E55" s="184" t="s">
        <v>806</v>
      </c>
      <c r="F55" s="184" t="s">
        <v>806</v>
      </c>
      <c r="G55" s="186">
        <f>IF(ALECA_Input!$F$13="ICAO (3000ft)",'Aircraft Calc'!C$215,'Aircraft Calc'!G$215)</f>
        <v>0.4</v>
      </c>
      <c r="H55" s="186">
        <f>IF(ALECA_Input!$F$13="ICAO (3000ft)",'Aircraft Calc'!D$215,'Aircraft Calc'!H$215)</f>
        <v>0.5</v>
      </c>
      <c r="I55" s="186">
        <f>IF(ALECA_Input!$F$13="ICAO (3000ft)",'Aircraft Calc'!E$215,'Aircraft Calc'!I$215)</f>
        <v>1.6</v>
      </c>
      <c r="J55" s="186">
        <v>1</v>
      </c>
      <c r="K55" s="187">
        <f t="shared" si="1"/>
        <v>7.902000000000001</v>
      </c>
      <c r="L55" s="187">
        <f t="shared" si="2"/>
        <v>9.2757600000000009E-2</v>
      </c>
      <c r="M55" s="187">
        <f t="shared" si="3"/>
        <v>5.9644800000000012E-3</v>
      </c>
      <c r="N55" s="187">
        <f t="shared" si="4"/>
        <v>3.5064000000000005E-2</v>
      </c>
      <c r="O55" s="187">
        <f t="shared" si="5"/>
        <v>1.2412531797089399E-3</v>
      </c>
      <c r="P55" s="188">
        <f t="shared" si="6"/>
        <v>3840510980765644</v>
      </c>
      <c r="Q55" s="187">
        <f t="shared" si="7"/>
        <v>720</v>
      </c>
      <c r="R55" s="219">
        <f t="shared" si="8"/>
        <v>3.7439999999999998</v>
      </c>
      <c r="S55" s="219">
        <f t="shared" si="9"/>
        <v>2.4264000000000001</v>
      </c>
      <c r="T55" s="219">
        <f t="shared" si="10"/>
        <v>30.024000000000001</v>
      </c>
      <c r="U55" s="219">
        <f t="shared" si="11"/>
        <v>5.488714772846514E-2</v>
      </c>
      <c r="V55" s="188">
        <f t="shared" si="12"/>
        <v>264366208742898.53</v>
      </c>
      <c r="W55" s="323">
        <v>9.6000000000000002E-2</v>
      </c>
      <c r="X55" s="323">
        <v>8.1000000000000003E-2</v>
      </c>
      <c r="Y55" s="323">
        <v>3.3000000000000002E-2</v>
      </c>
      <c r="Z55" s="323">
        <v>1.2E-2</v>
      </c>
      <c r="AA55" s="323">
        <v>16.3</v>
      </c>
      <c r="AB55" s="323">
        <v>13.2</v>
      </c>
      <c r="AC55" s="323">
        <v>7.3</v>
      </c>
      <c r="AD55" s="323">
        <v>5.2</v>
      </c>
      <c r="AE55" s="323">
        <v>0.57999999999999996</v>
      </c>
      <c r="AF55" s="323">
        <v>0.64</v>
      </c>
      <c r="AG55" s="323">
        <v>0.97</v>
      </c>
      <c r="AH55" s="323">
        <v>3.37</v>
      </c>
      <c r="AI55" s="323">
        <v>2.1</v>
      </c>
      <c r="AJ55" s="323">
        <v>2.4</v>
      </c>
      <c r="AK55" s="323">
        <v>7.7</v>
      </c>
      <c r="AL55" s="323">
        <v>41.7</v>
      </c>
      <c r="AM55" s="323">
        <v>9.4745658134774216E-2</v>
      </c>
      <c r="AN55" s="323">
        <v>7.1743404294941263E-2</v>
      </c>
      <c r="AO55" s="323">
        <v>5.3708304702376275E-3</v>
      </c>
      <c r="AP55" s="323">
        <v>6.4792496228682486E-3</v>
      </c>
      <c r="AQ55" s="323">
        <v>0.21040565813477421</v>
      </c>
      <c r="AR55" s="323">
        <v>0.16934340429494124</v>
      </c>
      <c r="AS55" s="323">
        <v>0.10889333047023762</v>
      </c>
      <c r="AT55" s="323">
        <v>7.6232149622868256E-2</v>
      </c>
      <c r="AU55" s="190">
        <v>623227298620517.5</v>
      </c>
      <c r="AV55" s="190">
        <v>592747747120098.25</v>
      </c>
      <c r="AW55" s="190">
        <v>304361824255723.75</v>
      </c>
      <c r="AX55" s="190">
        <v>367175289920692.44</v>
      </c>
      <c r="AY55" s="203">
        <v>0.4</v>
      </c>
      <c r="AZ55" s="239">
        <v>6.67</v>
      </c>
      <c r="BA55" s="203">
        <v>2001</v>
      </c>
      <c r="BB55" s="204">
        <v>39938</v>
      </c>
      <c r="BC55" s="203" t="s">
        <v>724</v>
      </c>
    </row>
    <row r="56" spans="1:55" x14ac:dyDescent="0.2">
      <c r="A56" s="184" t="s">
        <v>807</v>
      </c>
      <c r="B56" s="184" t="s">
        <v>807</v>
      </c>
      <c r="C56" s="184" t="s">
        <v>723</v>
      </c>
      <c r="D56" s="185" t="s">
        <v>712</v>
      </c>
      <c r="E56" s="184" t="s">
        <v>808</v>
      </c>
      <c r="F56" s="184" t="s">
        <v>809</v>
      </c>
      <c r="G56" s="186">
        <f>IF(ALECA_Input!$F$13="ICAO (3000ft)",'Aircraft Calc'!C$215,'Aircraft Calc'!G$215)</f>
        <v>0.4</v>
      </c>
      <c r="H56" s="186">
        <f>IF(ALECA_Input!$F$13="ICAO (3000ft)",'Aircraft Calc'!D$215,'Aircraft Calc'!H$215)</f>
        <v>0.5</v>
      </c>
      <c r="I56" s="186">
        <f>IF(ALECA_Input!$F$13="ICAO (3000ft)",'Aircraft Calc'!E$215,'Aircraft Calc'!I$215)</f>
        <v>1.6</v>
      </c>
      <c r="J56" s="186">
        <v>1</v>
      </c>
      <c r="K56" s="187">
        <f t="shared" si="1"/>
        <v>24.282</v>
      </c>
      <c r="L56" s="187">
        <f t="shared" si="2"/>
        <v>0.40237821600000001</v>
      </c>
      <c r="M56" s="187">
        <f t="shared" si="3"/>
        <v>0</v>
      </c>
      <c r="N56" s="187">
        <f t="shared" si="4"/>
        <v>0.108359592</v>
      </c>
      <c r="O56" s="187">
        <f t="shared" si="5"/>
        <v>3.1001989137290813E-3</v>
      </c>
      <c r="P56" s="188">
        <f t="shared" si="6"/>
        <v>3.451990877515932E+16</v>
      </c>
      <c r="Q56" s="187">
        <f t="shared" si="7"/>
        <v>2502</v>
      </c>
      <c r="R56" s="219">
        <f t="shared" si="8"/>
        <v>10.483380000000002</v>
      </c>
      <c r="S56" s="219">
        <f t="shared" si="9"/>
        <v>12.510000000000002</v>
      </c>
      <c r="T56" s="219">
        <f t="shared" si="10"/>
        <v>92.574000000000012</v>
      </c>
      <c r="U56" s="219">
        <f t="shared" si="11"/>
        <v>0.35346109880232068</v>
      </c>
      <c r="V56" s="188">
        <f t="shared" si="12"/>
        <v>8714423193071887</v>
      </c>
      <c r="W56" s="323">
        <v>0.30819999999999997</v>
      </c>
      <c r="X56" s="323">
        <v>0.25659999999999999</v>
      </c>
      <c r="Y56" s="323">
        <v>9.5699999999999993E-2</v>
      </c>
      <c r="Z56" s="323">
        <v>4.1700000000000001E-2</v>
      </c>
      <c r="AA56" s="323">
        <v>19.96</v>
      </c>
      <c r="AB56" s="323">
        <v>19.14</v>
      </c>
      <c r="AC56" s="323">
        <v>11.69</v>
      </c>
      <c r="AD56" s="323">
        <v>4.1900000000000004</v>
      </c>
      <c r="AE56" s="323">
        <v>0</v>
      </c>
      <c r="AF56" s="323">
        <v>0</v>
      </c>
      <c r="AG56" s="323">
        <v>0</v>
      </c>
      <c r="AH56" s="323">
        <v>5</v>
      </c>
      <c r="AI56" s="323">
        <v>2.21</v>
      </c>
      <c r="AJ56" s="323">
        <v>2.62</v>
      </c>
      <c r="AK56" s="323">
        <v>7.82</v>
      </c>
      <c r="AL56" s="323">
        <v>37</v>
      </c>
      <c r="AM56" s="323">
        <v>0.10101554388661951</v>
      </c>
      <c r="AN56" s="323">
        <v>9.7593775850239192E-2</v>
      </c>
      <c r="AO56" s="323">
        <v>4.4941171653321205E-2</v>
      </c>
      <c r="AP56" s="323">
        <v>6.1461422383021859E-2</v>
      </c>
      <c r="AQ56" s="323">
        <v>0.14997554388661952</v>
      </c>
      <c r="AR56" s="323">
        <v>0.14655377585023918</v>
      </c>
      <c r="AS56" s="323">
        <v>9.3901171653321208E-2</v>
      </c>
      <c r="AT56" s="323">
        <v>0.14127142238302184</v>
      </c>
      <c r="AU56" s="190">
        <v>664469969120767.38</v>
      </c>
      <c r="AV56" s="190">
        <v>806324864796695</v>
      </c>
      <c r="AW56" s="190">
        <v>2546789935819604</v>
      </c>
      <c r="AX56" s="190">
        <v>3482982890916021.5</v>
      </c>
      <c r="AY56" s="203">
        <v>1.4</v>
      </c>
      <c r="AZ56" s="239">
        <v>26.27</v>
      </c>
      <c r="BB56" s="204">
        <v>43041</v>
      </c>
      <c r="BC56" s="203" t="s">
        <v>810</v>
      </c>
    </row>
    <row r="57" spans="1:55" x14ac:dyDescent="0.2">
      <c r="A57" s="184" t="s">
        <v>711</v>
      </c>
      <c r="B57" s="184" t="s">
        <v>3067</v>
      </c>
      <c r="C57" s="184" t="s">
        <v>715</v>
      </c>
      <c r="D57" s="185" t="s">
        <v>3068</v>
      </c>
      <c r="E57" s="184" t="s">
        <v>3069</v>
      </c>
      <c r="F57" s="184" t="s">
        <v>3070</v>
      </c>
      <c r="G57" s="186"/>
      <c r="H57" s="186"/>
      <c r="I57" s="186"/>
      <c r="K57" s="187">
        <f t="shared" si="1"/>
        <v>0</v>
      </c>
      <c r="L57" s="187">
        <f t="shared" si="2"/>
        <v>0</v>
      </c>
      <c r="M57" s="187">
        <f t="shared" si="3"/>
        <v>0</v>
      </c>
      <c r="N57" s="187">
        <f t="shared" si="4"/>
        <v>0</v>
      </c>
      <c r="O57" s="187">
        <f t="shared" si="5"/>
        <v>0</v>
      </c>
      <c r="P57" s="188">
        <f t="shared" si="6"/>
        <v>0</v>
      </c>
      <c r="Q57" s="187">
        <f t="shared" si="7"/>
        <v>0</v>
      </c>
      <c r="R57" s="219">
        <f t="shared" si="8"/>
        <v>0</v>
      </c>
      <c r="S57" s="219">
        <f t="shared" si="9"/>
        <v>0</v>
      </c>
      <c r="T57" s="219">
        <f t="shared" si="10"/>
        <v>0</v>
      </c>
      <c r="U57" s="219">
        <f t="shared" si="11"/>
        <v>0</v>
      </c>
      <c r="V57" s="188">
        <f t="shared" si="12"/>
        <v>0</v>
      </c>
      <c r="W57" s="323">
        <v>0</v>
      </c>
      <c r="X57" s="323">
        <v>0</v>
      </c>
      <c r="Y57" s="323">
        <v>0</v>
      </c>
      <c r="Z57" s="323">
        <v>0</v>
      </c>
      <c r="AA57" s="323">
        <v>0</v>
      </c>
      <c r="AB57" s="323">
        <v>0</v>
      </c>
      <c r="AC57" s="323">
        <v>0</v>
      </c>
      <c r="AD57" s="323">
        <v>0</v>
      </c>
      <c r="AE57" s="323">
        <v>0</v>
      </c>
      <c r="AF57" s="323">
        <v>0</v>
      </c>
      <c r="AG57" s="323">
        <v>0</v>
      </c>
      <c r="AH57" s="323">
        <v>0</v>
      </c>
      <c r="AI57" s="323">
        <v>0</v>
      </c>
      <c r="AJ57" s="323">
        <v>0</v>
      </c>
      <c r="AK57" s="323">
        <v>0</v>
      </c>
      <c r="AL57" s="323">
        <v>0</v>
      </c>
      <c r="AM57" s="323">
        <v>0</v>
      </c>
      <c r="AN57" s="323">
        <v>0</v>
      </c>
      <c r="AO57" s="323">
        <v>0</v>
      </c>
      <c r="AP57" s="323">
        <v>0</v>
      </c>
      <c r="AQ57" s="323">
        <v>0</v>
      </c>
      <c r="AR57" s="323">
        <v>0</v>
      </c>
      <c r="AS57" s="323">
        <v>0</v>
      </c>
      <c r="AT57" s="323">
        <v>0</v>
      </c>
      <c r="AU57" s="190">
        <v>0</v>
      </c>
      <c r="AV57" s="190">
        <v>0</v>
      </c>
      <c r="AW57" s="190">
        <v>0</v>
      </c>
      <c r="AX57" s="190">
        <v>0</v>
      </c>
      <c r="AY57" s="203">
        <v>0</v>
      </c>
      <c r="BB57" s="204">
        <v>40442</v>
      </c>
      <c r="BC57" s="203" t="s">
        <v>716</v>
      </c>
    </row>
    <row r="58" spans="1:55" x14ac:dyDescent="0.2">
      <c r="A58" s="184" t="s">
        <v>811</v>
      </c>
      <c r="B58" s="184" t="s">
        <v>811</v>
      </c>
      <c r="C58" s="184" t="s">
        <v>715</v>
      </c>
      <c r="D58" s="185" t="s">
        <v>812</v>
      </c>
      <c r="E58" s="184" t="s">
        <v>813</v>
      </c>
      <c r="F58" s="184" t="s">
        <v>814</v>
      </c>
      <c r="G58" s="186">
        <f>IF(ALECA_Input!$F$13="ICAO (3000ft)",'Aircraft Calc'!C$218,'Aircraft Calc'!G$218)</f>
        <v>0</v>
      </c>
      <c r="H58" s="186">
        <f>IF(ALECA_Input!$F$13="ICAO (3000ft)",'Aircraft Calc'!D$218,'Aircraft Calc'!H$218)</f>
        <v>3</v>
      </c>
      <c r="I58" s="186">
        <f>IF(ALECA_Input!$F$13="ICAO (3000ft)",'Aircraft Calc'!E$218,'Aircraft Calc'!I$218)</f>
        <v>5.5</v>
      </c>
      <c r="J58" s="186">
        <v>1</v>
      </c>
      <c r="K58" s="187">
        <f t="shared" si="1"/>
        <v>21.306000000000001</v>
      </c>
      <c r="L58" s="187">
        <f t="shared" si="2"/>
        <v>0.16056900000000002</v>
      </c>
      <c r="M58" s="187">
        <f t="shared" si="3"/>
        <v>9.9864300000000017E-2</v>
      </c>
      <c r="N58" s="187">
        <f t="shared" si="4"/>
        <v>0.1227222</v>
      </c>
      <c r="O58" s="187">
        <f t="shared" si="5"/>
        <v>1.3310284485000001E-2</v>
      </c>
      <c r="P58" s="188">
        <f t="shared" si="6"/>
        <v>9.4750128E+17</v>
      </c>
      <c r="Q58" s="187">
        <f t="shared" si="7"/>
        <v>1230</v>
      </c>
      <c r="R58" s="219">
        <f t="shared" si="8"/>
        <v>3.8130000000000002</v>
      </c>
      <c r="S58" s="219">
        <f t="shared" si="9"/>
        <v>29.237099999999998</v>
      </c>
      <c r="T58" s="219">
        <f t="shared" si="10"/>
        <v>37.637999999999998</v>
      </c>
      <c r="U58" s="219">
        <f t="shared" si="11"/>
        <v>0.482308707</v>
      </c>
      <c r="V58" s="188">
        <f t="shared" si="12"/>
        <v>1.43787E+17</v>
      </c>
      <c r="X58" s="323">
        <v>5.4199999999999998E-2</v>
      </c>
      <c r="Y58" s="323">
        <v>3.5000000000000003E-2</v>
      </c>
      <c r="Z58" s="323">
        <v>2.0500000000000001E-2</v>
      </c>
      <c r="AB58" s="323">
        <v>9</v>
      </c>
      <c r="AC58" s="323">
        <v>6.3</v>
      </c>
      <c r="AD58" s="323">
        <v>3.1</v>
      </c>
      <c r="AF58" s="323">
        <v>3.05</v>
      </c>
      <c r="AG58" s="323">
        <v>6.07</v>
      </c>
      <c r="AH58" s="323">
        <v>23.77</v>
      </c>
      <c r="AJ58" s="323">
        <v>3.7</v>
      </c>
      <c r="AK58" s="323">
        <v>7.5</v>
      </c>
      <c r="AL58" s="323">
        <v>30.6</v>
      </c>
      <c r="AN58" s="323">
        <v>0.30480000000000002</v>
      </c>
      <c r="AO58" s="323">
        <v>0.26740000000000003</v>
      </c>
      <c r="AP58" s="323">
        <v>0.19650000000000001</v>
      </c>
      <c r="AR58" s="323">
        <v>0.58555999999999997</v>
      </c>
      <c r="AS58" s="323">
        <v>0.65779750000000003</v>
      </c>
      <c r="AT58" s="323">
        <v>0.39212089999999999</v>
      </c>
      <c r="AV58" s="190">
        <v>1.188E+16</v>
      </c>
      <c r="AW58" s="190">
        <v>7.2E+16</v>
      </c>
      <c r="AX58" s="190">
        <v>1.169E+17</v>
      </c>
      <c r="AY58" s="203">
        <v>0.2</v>
      </c>
      <c r="BB58" s="204">
        <v>42671</v>
      </c>
      <c r="BC58" s="203" t="s">
        <v>815</v>
      </c>
    </row>
    <row r="59" spans="1:55" x14ac:dyDescent="0.2">
      <c r="A59" s="184" t="s">
        <v>816</v>
      </c>
      <c r="B59" s="184" t="s">
        <v>816</v>
      </c>
      <c r="C59" s="184" t="s">
        <v>715</v>
      </c>
      <c r="D59" s="185" t="s">
        <v>812</v>
      </c>
      <c r="E59" s="184" t="s">
        <v>817</v>
      </c>
      <c r="F59" s="184" t="s">
        <v>818</v>
      </c>
      <c r="G59" s="186">
        <f>IF(ALECA_Input!$F$13="ICAO (3000ft)",'Aircraft Calc'!C$218,'Aircraft Calc'!G$218)</f>
        <v>0</v>
      </c>
      <c r="H59" s="186">
        <f>IF(ALECA_Input!$F$13="ICAO (3000ft)",'Aircraft Calc'!D$218,'Aircraft Calc'!H$218)</f>
        <v>3</v>
      </c>
      <c r="I59" s="186">
        <f>IF(ALECA_Input!$F$13="ICAO (3000ft)",'Aircraft Calc'!E$218,'Aircraft Calc'!I$218)</f>
        <v>5.5</v>
      </c>
      <c r="J59" s="186">
        <v>1</v>
      </c>
      <c r="K59" s="187">
        <f t="shared" si="1"/>
        <v>31.529999999999998</v>
      </c>
      <c r="L59" s="187">
        <f t="shared" si="2"/>
        <v>0.17838899999999999</v>
      </c>
      <c r="M59" s="187">
        <f t="shared" si="3"/>
        <v>1.5419999999999998E-2</v>
      </c>
      <c r="N59" s="187">
        <f t="shared" si="4"/>
        <v>0.103977</v>
      </c>
      <c r="O59" s="187">
        <f t="shared" si="5"/>
        <v>1.2731677800000001E-2</v>
      </c>
      <c r="P59" s="188">
        <f t="shared" si="6"/>
        <v>7.59222E+17</v>
      </c>
      <c r="Q59" s="187">
        <f t="shared" si="7"/>
        <v>1559.9999999999998</v>
      </c>
      <c r="R59" s="219">
        <f t="shared" si="8"/>
        <v>3.4319999999999999</v>
      </c>
      <c r="S59" s="219">
        <f t="shared" si="9"/>
        <v>1.5599999999999998</v>
      </c>
      <c r="T59" s="219">
        <f t="shared" si="10"/>
        <v>24.959999999999997</v>
      </c>
      <c r="U59" s="219">
        <f t="shared" si="11"/>
        <v>0.15854279999999998</v>
      </c>
      <c r="V59" s="188">
        <f t="shared" si="12"/>
        <v>3.2213999999999996E+16</v>
      </c>
      <c r="W59" s="323">
        <v>0.11</v>
      </c>
      <c r="X59" s="323">
        <v>7.8E-2</v>
      </c>
      <c r="Y59" s="323">
        <v>5.2999999999999999E-2</v>
      </c>
      <c r="Z59" s="323">
        <v>2.5999999999999999E-2</v>
      </c>
      <c r="AA59" s="323">
        <v>8.6999999999999993</v>
      </c>
      <c r="AB59" s="323">
        <v>7.1</v>
      </c>
      <c r="AC59" s="323">
        <v>4.5</v>
      </c>
      <c r="AD59" s="323">
        <v>2.2000000000000002</v>
      </c>
      <c r="AE59" s="323">
        <v>0.7</v>
      </c>
      <c r="AF59" s="323">
        <v>0.6</v>
      </c>
      <c r="AG59" s="323">
        <v>0.4</v>
      </c>
      <c r="AH59" s="323">
        <v>1</v>
      </c>
      <c r="AI59" s="323">
        <v>1.6</v>
      </c>
      <c r="AJ59" s="323">
        <v>1.8</v>
      </c>
      <c r="AK59" s="323">
        <v>4.5</v>
      </c>
      <c r="AL59" s="323">
        <v>16</v>
      </c>
      <c r="AM59" s="323">
        <v>0.4158</v>
      </c>
      <c r="AN59" s="323">
        <v>0.4128</v>
      </c>
      <c r="AO59" s="323">
        <v>0.2492</v>
      </c>
      <c r="AP59" s="323">
        <v>4.65E-2</v>
      </c>
      <c r="AQ59" s="323">
        <v>0.54525999999999997</v>
      </c>
      <c r="AR59" s="323">
        <v>0.50736000000000003</v>
      </c>
      <c r="AS59" s="323">
        <v>0.32066</v>
      </c>
      <c r="AT59" s="323">
        <v>0.10163</v>
      </c>
      <c r="AU59" s="190">
        <v>1.0625E+16</v>
      </c>
      <c r="AV59" s="190">
        <v>1.491E+16</v>
      </c>
      <c r="AW59" s="190">
        <v>3.144E+16</v>
      </c>
      <c r="AX59" s="190">
        <v>2.065E+16</v>
      </c>
      <c r="AY59" s="203">
        <v>0.7</v>
      </c>
      <c r="BA59" s="203">
        <v>2008</v>
      </c>
      <c r="BB59" s="204">
        <v>42674</v>
      </c>
      <c r="BC59" s="203" t="s">
        <v>819</v>
      </c>
    </row>
    <row r="60" spans="1:55" x14ac:dyDescent="0.2">
      <c r="A60" s="184" t="s">
        <v>820</v>
      </c>
      <c r="B60" s="184" t="s">
        <v>820</v>
      </c>
      <c r="C60" s="184" t="s">
        <v>715</v>
      </c>
      <c r="D60" s="185" t="s">
        <v>812</v>
      </c>
      <c r="E60" s="184" t="s">
        <v>817</v>
      </c>
      <c r="F60" s="184" t="s">
        <v>821</v>
      </c>
      <c r="G60" s="186">
        <f>IF(ALECA_Input!$F$13="ICAO (3000ft)",'Aircraft Calc'!C$218,'Aircraft Calc'!G$218)</f>
        <v>0</v>
      </c>
      <c r="H60" s="186">
        <f>IF(ALECA_Input!$F$13="ICAO (3000ft)",'Aircraft Calc'!D$218,'Aircraft Calc'!H$218)</f>
        <v>3</v>
      </c>
      <c r="I60" s="186">
        <f>IF(ALECA_Input!$F$13="ICAO (3000ft)",'Aircraft Calc'!E$218,'Aircraft Calc'!I$218)</f>
        <v>5.5</v>
      </c>
      <c r="J60" s="186">
        <v>1</v>
      </c>
      <c r="K60" s="187">
        <f t="shared" si="1"/>
        <v>38.070000000000007</v>
      </c>
      <c r="L60" s="187">
        <f t="shared" si="2"/>
        <v>0.16194600000000003</v>
      </c>
      <c r="M60" s="187">
        <f t="shared" si="3"/>
        <v>5.8860000000000006E-3</v>
      </c>
      <c r="N60" s="187">
        <f t="shared" si="4"/>
        <v>9.763200000000001E-2</v>
      </c>
      <c r="O60" s="187">
        <f t="shared" si="5"/>
        <v>4.4918282699999999E-2</v>
      </c>
      <c r="P60" s="188">
        <f t="shared" si="6"/>
        <v>2.568024E+18</v>
      </c>
      <c r="Q60" s="187">
        <f t="shared" si="7"/>
        <v>2040</v>
      </c>
      <c r="R60" s="219">
        <f t="shared" si="8"/>
        <v>4.6919999999999993</v>
      </c>
      <c r="S60" s="219">
        <f t="shared" si="9"/>
        <v>1.6320000000000001</v>
      </c>
      <c r="T60" s="219">
        <f t="shared" si="10"/>
        <v>24.072000000000003</v>
      </c>
      <c r="U60" s="219">
        <f t="shared" si="11"/>
        <v>0.75254783999999997</v>
      </c>
      <c r="V60" s="188">
        <f t="shared" si="12"/>
        <v>1.74216E+17</v>
      </c>
      <c r="W60" s="323">
        <v>9.6000000000000002E-2</v>
      </c>
      <c r="X60" s="323">
        <v>9.6000000000000002E-2</v>
      </c>
      <c r="Y60" s="323">
        <v>6.3E-2</v>
      </c>
      <c r="Z60" s="323">
        <v>3.4000000000000002E-2</v>
      </c>
      <c r="AA60" s="323">
        <v>4.8</v>
      </c>
      <c r="AB60" s="323">
        <v>4.8</v>
      </c>
      <c r="AC60" s="323">
        <v>3.8</v>
      </c>
      <c r="AD60" s="323">
        <v>2.2999999999999998</v>
      </c>
      <c r="AE60" s="323">
        <v>0.1</v>
      </c>
      <c r="AF60" s="323">
        <v>0.1</v>
      </c>
      <c r="AG60" s="323">
        <v>0.2</v>
      </c>
      <c r="AH60" s="323">
        <v>0.8</v>
      </c>
      <c r="AI60" s="323">
        <v>1.8</v>
      </c>
      <c r="AJ60" s="323">
        <v>1.8</v>
      </c>
      <c r="AK60" s="323">
        <v>3.2</v>
      </c>
      <c r="AL60" s="323">
        <v>11.8</v>
      </c>
      <c r="AN60" s="323">
        <v>1.224</v>
      </c>
      <c r="AO60" s="323">
        <v>1.036</v>
      </c>
      <c r="AP60" s="323">
        <v>0.315</v>
      </c>
      <c r="AR60" s="323">
        <v>1.2805599999999999</v>
      </c>
      <c r="AS60" s="323">
        <v>1.0962099999999999</v>
      </c>
      <c r="AT60" s="323">
        <v>0.368896</v>
      </c>
      <c r="AV60" s="190">
        <v>3.6E+16</v>
      </c>
      <c r="AW60" s="190">
        <v>9.36E+16</v>
      </c>
      <c r="AX60" s="190">
        <v>8.54E+16</v>
      </c>
      <c r="AY60" s="203">
        <v>0.7</v>
      </c>
      <c r="BB60" s="204">
        <v>42671</v>
      </c>
      <c r="BC60" s="203" t="s">
        <v>822</v>
      </c>
    </row>
    <row r="61" spans="1:55" x14ac:dyDescent="0.2">
      <c r="A61" s="184" t="s">
        <v>823</v>
      </c>
      <c r="B61" s="184" t="s">
        <v>823</v>
      </c>
      <c r="C61" s="184" t="s">
        <v>723</v>
      </c>
      <c r="D61" s="185" t="s">
        <v>812</v>
      </c>
      <c r="E61" s="184" t="s">
        <v>824</v>
      </c>
      <c r="F61" s="184" t="s">
        <v>824</v>
      </c>
      <c r="G61" s="186">
        <f>IF(ALECA_Input!$F$13="ICAO (3000ft)",'Aircraft Calc'!C$218,'Aircraft Calc'!G$218)</f>
        <v>0</v>
      </c>
      <c r="H61" s="186">
        <f>IF(ALECA_Input!$F$13="ICAO (3000ft)",'Aircraft Calc'!D$218,'Aircraft Calc'!H$218)</f>
        <v>3</v>
      </c>
      <c r="I61" s="186">
        <f>IF(ALECA_Input!$F$13="ICAO (3000ft)",'Aircraft Calc'!E$218,'Aircraft Calc'!I$218)</f>
        <v>5.5</v>
      </c>
      <c r="J61" s="186">
        <v>1</v>
      </c>
      <c r="K61" s="187">
        <f t="shared" si="1"/>
        <v>18.260999999999999</v>
      </c>
      <c r="L61" s="187">
        <f t="shared" si="2"/>
        <v>0.13805009999999998</v>
      </c>
      <c r="M61" s="187">
        <f t="shared" si="3"/>
        <v>0.19790009999999997</v>
      </c>
      <c r="N61" s="187">
        <f t="shared" si="4"/>
        <v>0.18623069999999997</v>
      </c>
      <c r="O61" s="187">
        <f t="shared" si="5"/>
        <v>1.7350888185000003E-2</v>
      </c>
      <c r="P61" s="188">
        <f t="shared" si="6"/>
        <v>1.1888748E+18</v>
      </c>
      <c r="Q61" s="187">
        <f t="shared" si="7"/>
        <v>1355.9999999999998</v>
      </c>
      <c r="R61" s="219">
        <f t="shared" si="8"/>
        <v>7.186799999999999</v>
      </c>
      <c r="S61" s="219">
        <f t="shared" si="9"/>
        <v>37.425599999999996</v>
      </c>
      <c r="T61" s="219">
        <f t="shared" si="10"/>
        <v>44.205599999999997</v>
      </c>
      <c r="U61" s="219">
        <f t="shared" si="11"/>
        <v>0.571895712</v>
      </c>
      <c r="V61" s="188">
        <f t="shared" si="12"/>
        <v>1.3858319999999998E+17</v>
      </c>
      <c r="W61" s="323">
        <v>5.3499999999999999E-2</v>
      </c>
      <c r="X61" s="323">
        <v>4.48E-2</v>
      </c>
      <c r="Y61" s="323">
        <v>3.09E-2</v>
      </c>
      <c r="Z61" s="323">
        <v>2.2599999999999999E-2</v>
      </c>
      <c r="AA61" s="323">
        <v>10.3</v>
      </c>
      <c r="AB61" s="323">
        <v>8.9</v>
      </c>
      <c r="AC61" s="323">
        <v>6.5</v>
      </c>
      <c r="AD61" s="323">
        <v>5.3</v>
      </c>
      <c r="AE61" s="323">
        <v>3.4</v>
      </c>
      <c r="AF61" s="323">
        <v>5.7</v>
      </c>
      <c r="AG61" s="323">
        <v>14.9</v>
      </c>
      <c r="AH61" s="323">
        <v>27.6</v>
      </c>
      <c r="AI61" s="323">
        <v>1.8</v>
      </c>
      <c r="AJ61" s="323">
        <v>4</v>
      </c>
      <c r="AK61" s="323">
        <v>15.1</v>
      </c>
      <c r="AL61" s="323">
        <v>32.6</v>
      </c>
      <c r="AN61" s="323">
        <v>0.25919999999999999</v>
      </c>
      <c r="AO61" s="323">
        <v>0.22819999999999999</v>
      </c>
      <c r="AP61" s="323">
        <v>0.20250000000000001</v>
      </c>
      <c r="AR61" s="323">
        <v>0.74136000000000002</v>
      </c>
      <c r="AS61" s="323">
        <v>1.1152850000000001</v>
      </c>
      <c r="AT61" s="323">
        <v>0.42175200000000002</v>
      </c>
      <c r="AV61" s="190">
        <v>1.845E+16</v>
      </c>
      <c r="AW61" s="190">
        <v>1.02E+17</v>
      </c>
      <c r="AX61" s="190">
        <v>1.022E+17</v>
      </c>
      <c r="AY61" s="203">
        <v>0.2</v>
      </c>
      <c r="BB61" s="204">
        <v>39492</v>
      </c>
      <c r="BC61" s="203" t="s">
        <v>3071</v>
      </c>
    </row>
    <row r="62" spans="1:55" x14ac:dyDescent="0.2">
      <c r="A62" s="184" t="s">
        <v>825</v>
      </c>
      <c r="B62" s="184" t="s">
        <v>825</v>
      </c>
      <c r="C62" s="184" t="s">
        <v>723</v>
      </c>
      <c r="D62" s="185" t="s">
        <v>812</v>
      </c>
      <c r="E62" s="184" t="s">
        <v>349</v>
      </c>
      <c r="F62" s="184" t="s">
        <v>826</v>
      </c>
      <c r="G62" s="186">
        <f>IF(ALECA_Input!$F$13="ICAO (3000ft)",'Aircraft Calc'!C$218,'Aircraft Calc'!G$218)</f>
        <v>0</v>
      </c>
      <c r="H62" s="186">
        <f>IF(ALECA_Input!$F$13="ICAO (3000ft)",'Aircraft Calc'!D$218,'Aircraft Calc'!H$218)</f>
        <v>3</v>
      </c>
      <c r="I62" s="186">
        <f>IF(ALECA_Input!$F$13="ICAO (3000ft)",'Aircraft Calc'!E$218,'Aircraft Calc'!I$218)</f>
        <v>5.5</v>
      </c>
      <c r="J62" s="186">
        <v>1</v>
      </c>
      <c r="K62" s="187">
        <f t="shared" si="1"/>
        <v>22.557000000000002</v>
      </c>
      <c r="L62" s="187">
        <f t="shared" si="2"/>
        <v>0.21139800000000003</v>
      </c>
      <c r="M62" s="187">
        <f t="shared" si="3"/>
        <v>0.12211890000000002</v>
      </c>
      <c r="N62" s="187">
        <f t="shared" si="4"/>
        <v>8.6866199999999991E-2</v>
      </c>
      <c r="O62" s="187">
        <f t="shared" si="5"/>
        <v>1.4934381494999999E-2</v>
      </c>
      <c r="P62" s="188">
        <f t="shared" si="6"/>
        <v>1.3343047006445005E+18</v>
      </c>
      <c r="Q62" s="187">
        <f t="shared" si="7"/>
        <v>1542</v>
      </c>
      <c r="R62" s="219">
        <f t="shared" si="8"/>
        <v>9.5604000000000013</v>
      </c>
      <c r="S62" s="219">
        <f t="shared" si="9"/>
        <v>26.368200000000002</v>
      </c>
      <c r="T62" s="219">
        <f t="shared" si="10"/>
        <v>27.293399999999998</v>
      </c>
      <c r="U62" s="219">
        <f t="shared" si="11"/>
        <v>0.520374114</v>
      </c>
      <c r="V62" s="188">
        <f t="shared" si="12"/>
        <v>1.463698782E+17</v>
      </c>
      <c r="W62" s="323">
        <v>7.1199999999999999E-2</v>
      </c>
      <c r="X62" s="323">
        <v>5.7299999999999997E-2</v>
      </c>
      <c r="Y62" s="323">
        <v>3.7100000000000001E-2</v>
      </c>
      <c r="Z62" s="323">
        <v>2.5700000000000001E-2</v>
      </c>
      <c r="AA62" s="323">
        <v>13</v>
      </c>
      <c r="AB62" s="323">
        <v>11</v>
      </c>
      <c r="AC62" s="323">
        <v>8</v>
      </c>
      <c r="AD62" s="323">
        <v>6.2</v>
      </c>
      <c r="AE62" s="323">
        <v>1.1000000000000001</v>
      </c>
      <c r="AF62" s="323">
        <v>2.7</v>
      </c>
      <c r="AG62" s="323">
        <v>7.7</v>
      </c>
      <c r="AH62" s="323">
        <v>17.100000000000001</v>
      </c>
      <c r="AI62" s="323">
        <v>0.5</v>
      </c>
      <c r="AJ62" s="323">
        <v>1.3</v>
      </c>
      <c r="AK62" s="323">
        <v>6</v>
      </c>
      <c r="AL62" s="323">
        <v>17.7</v>
      </c>
      <c r="AN62" s="323">
        <v>0.31080000000000002</v>
      </c>
      <c r="AO62" s="323">
        <v>0.26179999999999998</v>
      </c>
      <c r="AP62" s="323">
        <v>0.183</v>
      </c>
      <c r="AR62" s="323">
        <v>0.56496000000000002</v>
      </c>
      <c r="AS62" s="323">
        <v>0.74388500000000002</v>
      </c>
      <c r="AT62" s="323">
        <v>0.33746700000000002</v>
      </c>
      <c r="AV62" s="190">
        <v>1.505817E+16</v>
      </c>
      <c r="AW62" s="190">
        <v>9.6299496468553504E+16</v>
      </c>
      <c r="AX62" s="190">
        <v>9.49221E+16</v>
      </c>
      <c r="AY62" s="203">
        <v>0.2</v>
      </c>
      <c r="BB62" s="204">
        <v>39492</v>
      </c>
      <c r="BC62" s="203" t="s">
        <v>3071</v>
      </c>
    </row>
    <row r="63" spans="1:55" x14ac:dyDescent="0.2">
      <c r="A63" s="184" t="s">
        <v>827</v>
      </c>
      <c r="B63" s="184" t="s">
        <v>827</v>
      </c>
      <c r="C63" s="184" t="s">
        <v>723</v>
      </c>
      <c r="D63" s="185" t="s">
        <v>812</v>
      </c>
      <c r="E63" s="184" t="s">
        <v>828</v>
      </c>
      <c r="F63" s="184" t="s">
        <v>828</v>
      </c>
      <c r="G63" s="186">
        <f>IF(ALECA_Input!$F$13="ICAO (3000ft)",'Aircraft Calc'!C$218,'Aircraft Calc'!G$218)</f>
        <v>0</v>
      </c>
      <c r="H63" s="186">
        <f>IF(ALECA_Input!$F$13="ICAO (3000ft)",'Aircraft Calc'!D$218,'Aircraft Calc'!H$218)</f>
        <v>3</v>
      </c>
      <c r="I63" s="186">
        <f>IF(ALECA_Input!$F$13="ICAO (3000ft)",'Aircraft Calc'!E$218,'Aircraft Calc'!I$218)</f>
        <v>5.5</v>
      </c>
      <c r="J63" s="186">
        <v>1</v>
      </c>
      <c r="K63" s="187">
        <f t="shared" si="1"/>
        <v>22.541999999999998</v>
      </c>
      <c r="L63" s="187">
        <f t="shared" si="2"/>
        <v>0.16023660000000001</v>
      </c>
      <c r="M63" s="187">
        <f t="shared" si="3"/>
        <v>2.8552799999999996E-2</v>
      </c>
      <c r="N63" s="187">
        <f t="shared" si="4"/>
        <v>0.15262679999999998</v>
      </c>
      <c r="O63" s="187">
        <f t="shared" si="5"/>
        <v>9.3606865199999997E-3</v>
      </c>
      <c r="P63" s="188">
        <f t="shared" si="6"/>
        <v>1.0223631885599999E+18</v>
      </c>
      <c r="Q63" s="187">
        <f t="shared" si="7"/>
        <v>1542</v>
      </c>
      <c r="R63" s="219">
        <f t="shared" si="8"/>
        <v>7.0931999999999995</v>
      </c>
      <c r="S63" s="219">
        <f t="shared" si="9"/>
        <v>8.3268000000000004</v>
      </c>
      <c r="T63" s="219">
        <f t="shared" si="10"/>
        <v>25.597200000000004</v>
      </c>
      <c r="U63" s="219">
        <f t="shared" si="11"/>
        <v>0.43450167599999995</v>
      </c>
      <c r="V63" s="188">
        <f t="shared" si="12"/>
        <v>1.832033238E+17</v>
      </c>
      <c r="W63" s="323">
        <v>7.1400000000000005E-2</v>
      </c>
      <c r="X63" s="323">
        <v>5.74E-2</v>
      </c>
      <c r="Y63" s="323">
        <v>3.6999999999999998E-2</v>
      </c>
      <c r="Z63" s="323">
        <v>2.5700000000000001E-2</v>
      </c>
      <c r="AA63" s="323">
        <v>9.6</v>
      </c>
      <c r="AB63" s="323">
        <v>8.3000000000000007</v>
      </c>
      <c r="AC63" s="323">
        <v>6.1</v>
      </c>
      <c r="AD63" s="323">
        <v>4.5999999999999996</v>
      </c>
      <c r="AE63" s="323">
        <v>0.1</v>
      </c>
      <c r="AF63" s="323">
        <v>0.4</v>
      </c>
      <c r="AG63" s="323">
        <v>2</v>
      </c>
      <c r="AH63" s="323">
        <v>5.4</v>
      </c>
      <c r="AI63" s="323">
        <v>1.9</v>
      </c>
      <c r="AJ63" s="323">
        <v>3.9</v>
      </c>
      <c r="AK63" s="323">
        <v>9.1999999999999993</v>
      </c>
      <c r="AL63" s="323">
        <v>16.600000000000001</v>
      </c>
      <c r="AN63" s="323">
        <v>0.31319999999999998</v>
      </c>
      <c r="AO63" s="323">
        <v>0.27300000000000002</v>
      </c>
      <c r="AP63" s="323">
        <v>0.19950000000000001</v>
      </c>
      <c r="AR63" s="323">
        <v>0.39256000000000002</v>
      </c>
      <c r="AS63" s="323">
        <v>0.43446000000000001</v>
      </c>
      <c r="AT63" s="323">
        <v>0.28177799999999997</v>
      </c>
      <c r="AV63" s="190">
        <v>1.220058E+16</v>
      </c>
      <c r="AW63" s="190">
        <v>7.34076E+16</v>
      </c>
      <c r="AX63" s="190">
        <v>1.188089E+17</v>
      </c>
      <c r="AY63" s="203">
        <v>0.2</v>
      </c>
      <c r="BB63" s="204">
        <v>39492</v>
      </c>
      <c r="BC63" s="203" t="s">
        <v>3071</v>
      </c>
    </row>
    <row r="64" spans="1:55" x14ac:dyDescent="0.2">
      <c r="A64" s="184" t="s">
        <v>829</v>
      </c>
      <c r="B64" s="184" t="s">
        <v>829</v>
      </c>
      <c r="C64" s="184" t="s">
        <v>723</v>
      </c>
      <c r="D64" s="185" t="s">
        <v>812</v>
      </c>
      <c r="E64" s="184" t="s">
        <v>830</v>
      </c>
      <c r="F64" s="184" t="s">
        <v>831</v>
      </c>
      <c r="G64" s="186">
        <f>IF(ALECA_Input!$F$13="ICAO (3000ft)",'Aircraft Calc'!C$218,'Aircraft Calc'!G$218)</f>
        <v>0</v>
      </c>
      <c r="H64" s="186">
        <f>IF(ALECA_Input!$F$13="ICAO (3000ft)",'Aircraft Calc'!D$218,'Aircraft Calc'!H$218)</f>
        <v>3</v>
      </c>
      <c r="I64" s="186">
        <f>IF(ALECA_Input!$F$13="ICAO (3000ft)",'Aircraft Calc'!E$218,'Aircraft Calc'!I$218)</f>
        <v>5.5</v>
      </c>
      <c r="J64" s="186">
        <v>1</v>
      </c>
      <c r="K64" s="187">
        <f t="shared" si="1"/>
        <v>21.503999999999998</v>
      </c>
      <c r="L64" s="187">
        <f t="shared" si="2"/>
        <v>0.15146280000000001</v>
      </c>
      <c r="M64" s="187">
        <f t="shared" si="3"/>
        <v>3.3073199999999997E-2</v>
      </c>
      <c r="N64" s="187">
        <f t="shared" si="4"/>
        <v>0.1541544</v>
      </c>
      <c r="O64" s="187">
        <f t="shared" si="5"/>
        <v>9.2723270400000002E-3</v>
      </c>
      <c r="P64" s="188">
        <f t="shared" si="6"/>
        <v>9.7907436E+17</v>
      </c>
      <c r="Q64" s="187">
        <f t="shared" si="7"/>
        <v>1566</v>
      </c>
      <c r="R64" s="219">
        <f t="shared" si="8"/>
        <v>7.0470000000000006</v>
      </c>
      <c r="S64" s="219">
        <f t="shared" si="9"/>
        <v>9.2394000000000016</v>
      </c>
      <c r="T64" s="219">
        <f t="shared" si="10"/>
        <v>26.935199999999998</v>
      </c>
      <c r="U64" s="219">
        <f t="shared" si="11"/>
        <v>0.446095458</v>
      </c>
      <c r="V64" s="188">
        <f t="shared" si="12"/>
        <v>1.86354E+17</v>
      </c>
      <c r="W64" s="323">
        <v>6.59E-2</v>
      </c>
      <c r="X64" s="323">
        <v>5.4199999999999998E-2</v>
      </c>
      <c r="Y64" s="323">
        <v>3.56E-2</v>
      </c>
      <c r="Z64" s="323">
        <v>2.6100000000000002E-2</v>
      </c>
      <c r="AA64" s="323">
        <v>9.5</v>
      </c>
      <c r="AB64" s="323">
        <v>8.3000000000000007</v>
      </c>
      <c r="AC64" s="323">
        <v>6</v>
      </c>
      <c r="AD64" s="323">
        <v>4.5</v>
      </c>
      <c r="AE64" s="323">
        <v>0.1</v>
      </c>
      <c r="AF64" s="323">
        <v>0.5</v>
      </c>
      <c r="AG64" s="323">
        <v>2.4</v>
      </c>
      <c r="AH64" s="323">
        <v>5.9</v>
      </c>
      <c r="AI64" s="323">
        <v>2.2000000000000002</v>
      </c>
      <c r="AJ64" s="323">
        <v>4</v>
      </c>
      <c r="AK64" s="323">
        <v>9.8000000000000007</v>
      </c>
      <c r="AL64" s="323">
        <v>17.2</v>
      </c>
      <c r="AN64" s="323">
        <v>0.31319999999999998</v>
      </c>
      <c r="AO64" s="323">
        <v>0.27300000000000002</v>
      </c>
      <c r="AP64" s="323">
        <v>0.19950000000000001</v>
      </c>
      <c r="AR64" s="323">
        <v>0.40016000000000002</v>
      </c>
      <c r="AS64" s="323">
        <v>0.45695999999999998</v>
      </c>
      <c r="AT64" s="323">
        <v>0.28486299999999998</v>
      </c>
      <c r="AV64" s="190">
        <v>1.221E+16</v>
      </c>
      <c r="AW64" s="190">
        <v>7.32E+16</v>
      </c>
      <c r="AX64" s="190">
        <v>1.19E+17</v>
      </c>
      <c r="AY64" s="203">
        <v>0.2</v>
      </c>
      <c r="BB64" s="204">
        <v>39492</v>
      </c>
      <c r="BC64" s="203" t="s">
        <v>3071</v>
      </c>
    </row>
    <row r="65" spans="1:55" x14ac:dyDescent="0.2">
      <c r="A65" s="184" t="s">
        <v>832</v>
      </c>
      <c r="B65" s="184" t="s">
        <v>832</v>
      </c>
      <c r="C65" s="184" t="s">
        <v>723</v>
      </c>
      <c r="D65" s="185" t="s">
        <v>812</v>
      </c>
      <c r="E65" s="184" t="s">
        <v>833</v>
      </c>
      <c r="F65" s="184" t="s">
        <v>834</v>
      </c>
      <c r="G65" s="186">
        <f>IF(ALECA_Input!$F$13="ICAO (3000ft)",'Aircraft Calc'!C$218,'Aircraft Calc'!G$218)</f>
        <v>0</v>
      </c>
      <c r="H65" s="186">
        <f>IF(ALECA_Input!$F$13="ICAO (3000ft)",'Aircraft Calc'!D$218,'Aircraft Calc'!H$218)</f>
        <v>3</v>
      </c>
      <c r="I65" s="186">
        <f>IF(ALECA_Input!$F$13="ICAO (3000ft)",'Aircraft Calc'!E$218,'Aircraft Calc'!I$218)</f>
        <v>5.5</v>
      </c>
      <c r="J65" s="186">
        <v>1</v>
      </c>
      <c r="K65" s="187">
        <f t="shared" si="1"/>
        <v>22.673999999999999</v>
      </c>
      <c r="L65" s="187">
        <f t="shared" si="2"/>
        <v>0.21753179999999997</v>
      </c>
      <c r="M65" s="187">
        <f t="shared" si="3"/>
        <v>0.12594659999999999</v>
      </c>
      <c r="N65" s="187">
        <f t="shared" si="4"/>
        <v>0.1082376</v>
      </c>
      <c r="O65" s="187">
        <f t="shared" si="5"/>
        <v>1.5372428939999998E-2</v>
      </c>
      <c r="P65" s="188">
        <f t="shared" si="6"/>
        <v>1.04166414E+18</v>
      </c>
      <c r="Q65" s="187">
        <f t="shared" si="7"/>
        <v>1680</v>
      </c>
      <c r="R65" s="219">
        <f t="shared" si="8"/>
        <v>9.7439999999999998</v>
      </c>
      <c r="S65" s="219">
        <f t="shared" si="9"/>
        <v>35.448</v>
      </c>
      <c r="T65" s="219">
        <f t="shared" si="10"/>
        <v>39.311999999999998</v>
      </c>
      <c r="U65" s="219">
        <f t="shared" si="11"/>
        <v>0.63612696000000002</v>
      </c>
      <c r="V65" s="188">
        <f t="shared" si="12"/>
        <v>1.9992E+17</v>
      </c>
      <c r="W65" s="323">
        <v>6.8699999999999997E-2</v>
      </c>
      <c r="X65" s="323">
        <v>5.6300000000000003E-2</v>
      </c>
      <c r="Y65" s="323">
        <v>3.7999999999999999E-2</v>
      </c>
      <c r="Z65" s="323">
        <v>2.8000000000000001E-2</v>
      </c>
      <c r="AA65" s="323">
        <v>12.5</v>
      </c>
      <c r="AB65" s="323">
        <v>10.7</v>
      </c>
      <c r="AC65" s="323">
        <v>8.6999999999999993</v>
      </c>
      <c r="AD65" s="323">
        <v>5.8</v>
      </c>
      <c r="AE65" s="323">
        <v>1.5</v>
      </c>
      <c r="AF65" s="323">
        <v>2.9</v>
      </c>
      <c r="AG65" s="323">
        <v>7.7</v>
      </c>
      <c r="AH65" s="323">
        <v>21.1</v>
      </c>
      <c r="AI65" s="323">
        <v>0.6</v>
      </c>
      <c r="AJ65" s="323">
        <v>1.4</v>
      </c>
      <c r="AK65" s="323">
        <v>7.5</v>
      </c>
      <c r="AL65" s="323">
        <v>23.4</v>
      </c>
      <c r="AN65" s="323">
        <v>0.31319999999999998</v>
      </c>
      <c r="AO65" s="323">
        <v>0.27300000000000002</v>
      </c>
      <c r="AP65" s="323">
        <v>0.19950000000000001</v>
      </c>
      <c r="AR65" s="323">
        <v>0.58255999999999997</v>
      </c>
      <c r="AS65" s="323">
        <v>0.75508500000000001</v>
      </c>
      <c r="AT65" s="323">
        <v>0.37864700000000001</v>
      </c>
      <c r="AV65" s="190">
        <v>1.221E+16</v>
      </c>
      <c r="AW65" s="190">
        <v>7.32E+16</v>
      </c>
      <c r="AX65" s="190">
        <v>1.19E+17</v>
      </c>
      <c r="AY65" s="203">
        <v>0.2</v>
      </c>
      <c r="BB65" s="204">
        <v>39492</v>
      </c>
      <c r="BC65" s="203" t="s">
        <v>3071</v>
      </c>
    </row>
    <row r="66" spans="1:55" x14ac:dyDescent="0.2">
      <c r="A66" s="184" t="s">
        <v>835</v>
      </c>
      <c r="B66" s="184" t="s">
        <v>835</v>
      </c>
      <c r="C66" s="184" t="s">
        <v>723</v>
      </c>
      <c r="D66" s="185" t="s">
        <v>812</v>
      </c>
      <c r="E66" s="184" t="s">
        <v>836</v>
      </c>
      <c r="F66" s="184" t="s">
        <v>833</v>
      </c>
      <c r="G66" s="186">
        <f>IF(ALECA_Input!$F$13="ICAO (3000ft)",'Aircraft Calc'!C$218,'Aircraft Calc'!G$218)</f>
        <v>0</v>
      </c>
      <c r="H66" s="186">
        <f>IF(ALECA_Input!$F$13="ICAO (3000ft)",'Aircraft Calc'!D$218,'Aircraft Calc'!H$218)</f>
        <v>3</v>
      </c>
      <c r="I66" s="186">
        <f>IF(ALECA_Input!$F$13="ICAO (3000ft)",'Aircraft Calc'!E$218,'Aircraft Calc'!I$218)</f>
        <v>5.5</v>
      </c>
      <c r="J66" s="186">
        <v>1</v>
      </c>
      <c r="K66" s="187">
        <f t="shared" si="1"/>
        <v>21.795000000000002</v>
      </c>
      <c r="L66" s="187">
        <f t="shared" si="2"/>
        <v>0.19409670000000001</v>
      </c>
      <c r="M66" s="187">
        <f t="shared" si="3"/>
        <v>0.1452021</v>
      </c>
      <c r="N66" s="187">
        <f t="shared" si="4"/>
        <v>0.11588040000000001</v>
      </c>
      <c r="O66" s="187">
        <f t="shared" si="5"/>
        <v>1.5767988824999999E-2</v>
      </c>
      <c r="P66" s="188">
        <f t="shared" si="6"/>
        <v>1.565604E+18</v>
      </c>
      <c r="Q66" s="187">
        <f t="shared" si="7"/>
        <v>1566</v>
      </c>
      <c r="R66" s="219">
        <f t="shared" si="8"/>
        <v>9.0828000000000007</v>
      </c>
      <c r="S66" s="219">
        <f t="shared" si="9"/>
        <v>32.259600000000006</v>
      </c>
      <c r="T66" s="219">
        <f t="shared" si="10"/>
        <v>35.234999999999999</v>
      </c>
      <c r="U66" s="219">
        <f t="shared" si="11"/>
        <v>0.6163180920000001</v>
      </c>
      <c r="V66" s="188">
        <f t="shared" si="12"/>
        <v>1.710072E+17</v>
      </c>
      <c r="W66" s="323">
        <v>6.7299999999999999E-2</v>
      </c>
      <c r="X66" s="323">
        <v>5.4899999999999997E-2</v>
      </c>
      <c r="Y66" s="323">
        <v>3.61E-2</v>
      </c>
      <c r="Z66" s="323">
        <v>2.6100000000000002E-2</v>
      </c>
      <c r="AA66" s="323">
        <v>12.4</v>
      </c>
      <c r="AB66" s="323">
        <v>10.6</v>
      </c>
      <c r="AC66" s="323">
        <v>7.5</v>
      </c>
      <c r="AD66" s="323">
        <v>5.8</v>
      </c>
      <c r="AE66" s="323">
        <v>1.5</v>
      </c>
      <c r="AF66" s="323">
        <v>3</v>
      </c>
      <c r="AG66" s="323">
        <v>9.6999999999999993</v>
      </c>
      <c r="AH66" s="323">
        <v>20.6</v>
      </c>
      <c r="AI66" s="323">
        <v>0.6</v>
      </c>
      <c r="AJ66" s="323">
        <v>1.6</v>
      </c>
      <c r="AK66" s="323">
        <v>8.4</v>
      </c>
      <c r="AL66" s="323">
        <v>22.5</v>
      </c>
      <c r="AN66" s="323">
        <v>0.2964</v>
      </c>
      <c r="AO66" s="323">
        <v>0.25340000000000001</v>
      </c>
      <c r="AP66" s="323">
        <v>0.2175</v>
      </c>
      <c r="AR66" s="323">
        <v>0.57335999999999998</v>
      </c>
      <c r="AS66" s="323">
        <v>0.84798499999999999</v>
      </c>
      <c r="AT66" s="323">
        <v>0.39356200000000002</v>
      </c>
      <c r="AV66" s="190">
        <v>2.1E+16</v>
      </c>
      <c r="AW66" s="190">
        <v>1.14E+17</v>
      </c>
      <c r="AX66" s="190">
        <v>1.092E+17</v>
      </c>
      <c r="AY66" s="203">
        <v>0.2</v>
      </c>
      <c r="BB66" s="204">
        <v>39492</v>
      </c>
      <c r="BC66" s="203" t="s">
        <v>3071</v>
      </c>
    </row>
    <row r="67" spans="1:55" x14ac:dyDescent="0.2">
      <c r="A67" s="184" t="s">
        <v>837</v>
      </c>
      <c r="B67" s="184" t="s">
        <v>837</v>
      </c>
      <c r="C67" s="184" t="s">
        <v>723</v>
      </c>
      <c r="D67" s="185" t="s">
        <v>812</v>
      </c>
      <c r="E67" s="184" t="s">
        <v>838</v>
      </c>
      <c r="F67" s="184" t="s">
        <v>833</v>
      </c>
      <c r="G67" s="186">
        <f>IF(ALECA_Input!$F$13="ICAO (3000ft)",'Aircraft Calc'!C$218,'Aircraft Calc'!G$218)</f>
        <v>0</v>
      </c>
      <c r="H67" s="186">
        <f>IF(ALECA_Input!$F$13="ICAO (3000ft)",'Aircraft Calc'!D$218,'Aircraft Calc'!H$218)</f>
        <v>3</v>
      </c>
      <c r="I67" s="186">
        <f>IF(ALECA_Input!$F$13="ICAO (3000ft)",'Aircraft Calc'!E$218,'Aircraft Calc'!I$218)</f>
        <v>5.5</v>
      </c>
      <c r="J67" s="186">
        <v>1</v>
      </c>
      <c r="K67" s="187">
        <f t="shared" si="1"/>
        <v>21.795000000000002</v>
      </c>
      <c r="L67" s="187">
        <f t="shared" si="2"/>
        <v>0.19409670000000001</v>
      </c>
      <c r="M67" s="187">
        <f t="shared" si="3"/>
        <v>0.1452021</v>
      </c>
      <c r="N67" s="187">
        <f t="shared" si="4"/>
        <v>0.11588040000000001</v>
      </c>
      <c r="O67" s="187">
        <f t="shared" si="5"/>
        <v>1.5767988824999999E-2</v>
      </c>
      <c r="P67" s="188">
        <f t="shared" si="6"/>
        <v>1.565604E+18</v>
      </c>
      <c r="Q67" s="187">
        <f t="shared" si="7"/>
        <v>1566</v>
      </c>
      <c r="R67" s="219">
        <f t="shared" si="8"/>
        <v>9.0828000000000007</v>
      </c>
      <c r="S67" s="219">
        <f t="shared" si="9"/>
        <v>32.259600000000006</v>
      </c>
      <c r="T67" s="219">
        <f t="shared" si="10"/>
        <v>35.234999999999999</v>
      </c>
      <c r="U67" s="219">
        <f t="shared" si="11"/>
        <v>0.6163180920000001</v>
      </c>
      <c r="V67" s="188">
        <f t="shared" si="12"/>
        <v>1.710072E+17</v>
      </c>
      <c r="W67" s="323">
        <v>6.7299999999999999E-2</v>
      </c>
      <c r="X67" s="323">
        <v>5.4899999999999997E-2</v>
      </c>
      <c r="Y67" s="323">
        <v>3.61E-2</v>
      </c>
      <c r="Z67" s="323">
        <v>2.6100000000000002E-2</v>
      </c>
      <c r="AA67" s="323">
        <v>12.4</v>
      </c>
      <c r="AB67" s="323">
        <v>10.6</v>
      </c>
      <c r="AC67" s="323">
        <v>7.5</v>
      </c>
      <c r="AD67" s="323">
        <v>5.8</v>
      </c>
      <c r="AE67" s="323">
        <v>1.5</v>
      </c>
      <c r="AF67" s="323">
        <v>3</v>
      </c>
      <c r="AG67" s="323">
        <v>9.6999999999999993</v>
      </c>
      <c r="AH67" s="323">
        <v>20.6</v>
      </c>
      <c r="AI67" s="323">
        <v>0.6</v>
      </c>
      <c r="AJ67" s="323">
        <v>1.6</v>
      </c>
      <c r="AK67" s="323">
        <v>8.4</v>
      </c>
      <c r="AL67" s="323">
        <v>22.5</v>
      </c>
      <c r="AN67" s="323">
        <v>0.2964</v>
      </c>
      <c r="AO67" s="323">
        <v>0.25340000000000001</v>
      </c>
      <c r="AP67" s="323">
        <v>0.2175</v>
      </c>
      <c r="AR67" s="323">
        <v>0.57335999999999998</v>
      </c>
      <c r="AS67" s="323">
        <v>0.84798499999999999</v>
      </c>
      <c r="AT67" s="323">
        <v>0.39356200000000002</v>
      </c>
      <c r="AV67" s="190">
        <v>2.1E+16</v>
      </c>
      <c r="AW67" s="190">
        <v>1.14E+17</v>
      </c>
      <c r="AX67" s="190">
        <v>1.092E+17</v>
      </c>
      <c r="AY67" s="203">
        <v>0.2</v>
      </c>
      <c r="BB67" s="204">
        <v>39493</v>
      </c>
      <c r="BC67" s="203" t="s">
        <v>3071</v>
      </c>
    </row>
    <row r="68" spans="1:55" x14ac:dyDescent="0.2">
      <c r="A68" s="184" t="s">
        <v>839</v>
      </c>
      <c r="B68" s="184" t="s">
        <v>839</v>
      </c>
      <c r="C68" s="184" t="s">
        <v>723</v>
      </c>
      <c r="D68" s="185" t="s">
        <v>812</v>
      </c>
      <c r="E68" s="184" t="s">
        <v>840</v>
      </c>
      <c r="F68" s="184" t="s">
        <v>833</v>
      </c>
      <c r="G68" s="186">
        <f>IF(ALECA_Input!$F$13="ICAO (3000ft)",'Aircraft Calc'!C$218,'Aircraft Calc'!G$218)</f>
        <v>0</v>
      </c>
      <c r="H68" s="186">
        <f>IF(ALECA_Input!$F$13="ICAO (3000ft)",'Aircraft Calc'!D$218,'Aircraft Calc'!H$218)</f>
        <v>3</v>
      </c>
      <c r="I68" s="186">
        <f>IF(ALECA_Input!$F$13="ICAO (3000ft)",'Aircraft Calc'!E$218,'Aircraft Calc'!I$218)</f>
        <v>5.5</v>
      </c>
      <c r="J68" s="186">
        <v>1</v>
      </c>
      <c r="K68" s="187">
        <f t="shared" si="1"/>
        <v>21.78</v>
      </c>
      <c r="L68" s="187">
        <f t="shared" si="2"/>
        <v>0.15443999999999999</v>
      </c>
      <c r="M68" s="187">
        <f t="shared" si="3"/>
        <v>3.1283999999999992E-2</v>
      </c>
      <c r="N68" s="187">
        <f t="shared" si="4"/>
        <v>0.15166799999999997</v>
      </c>
      <c r="O68" s="187">
        <f t="shared" si="5"/>
        <v>8.8490358000000002E-3</v>
      </c>
      <c r="P68" s="188">
        <f t="shared" si="6"/>
        <v>1.56222E+18</v>
      </c>
      <c r="Q68" s="187">
        <f t="shared" si="7"/>
        <v>1578</v>
      </c>
      <c r="R68" s="219">
        <f t="shared" si="8"/>
        <v>7.101</v>
      </c>
      <c r="S68" s="219">
        <f t="shared" si="9"/>
        <v>9.1524000000000001</v>
      </c>
      <c r="T68" s="219">
        <f t="shared" si="10"/>
        <v>26.668199999999999</v>
      </c>
      <c r="U68" s="219">
        <f t="shared" si="11"/>
        <v>0.47694418800000005</v>
      </c>
      <c r="V68" s="188">
        <f t="shared" si="12"/>
        <v>1.723176E+17</v>
      </c>
      <c r="W68" s="323">
        <v>6.7000000000000004E-2</v>
      </c>
      <c r="X68" s="323">
        <v>5.5E-2</v>
      </c>
      <c r="Y68" s="323">
        <v>3.5999999999999997E-2</v>
      </c>
      <c r="Z68" s="323">
        <v>2.63E-2</v>
      </c>
      <c r="AA68" s="323">
        <v>9.6</v>
      </c>
      <c r="AB68" s="323">
        <v>8.4</v>
      </c>
      <c r="AC68" s="323">
        <v>6</v>
      </c>
      <c r="AD68" s="323">
        <v>4.5</v>
      </c>
      <c r="AE68" s="323">
        <v>0.1</v>
      </c>
      <c r="AF68" s="323">
        <v>0.4</v>
      </c>
      <c r="AG68" s="323">
        <v>2.2999999999999998</v>
      </c>
      <c r="AH68" s="323">
        <v>5.8</v>
      </c>
      <c r="AI68" s="323">
        <v>2.1</v>
      </c>
      <c r="AJ68" s="323">
        <v>3.8</v>
      </c>
      <c r="AK68" s="323">
        <v>9.6</v>
      </c>
      <c r="AL68" s="323">
        <v>16.899999999999999</v>
      </c>
      <c r="AN68" s="323">
        <v>0.2964</v>
      </c>
      <c r="AO68" s="323">
        <v>0.25340000000000001</v>
      </c>
      <c r="AP68" s="323">
        <v>0.2175</v>
      </c>
      <c r="AR68" s="323">
        <v>0.37575999999999998</v>
      </c>
      <c r="AS68" s="323">
        <v>0.43173499999999998</v>
      </c>
      <c r="AT68" s="323">
        <v>0.30224600000000001</v>
      </c>
      <c r="AV68" s="190">
        <v>2.1E+16</v>
      </c>
      <c r="AW68" s="190">
        <v>1.14E+17</v>
      </c>
      <c r="AX68" s="190">
        <v>1.092E+17</v>
      </c>
      <c r="AY68" s="203">
        <v>0.2</v>
      </c>
      <c r="BB68" s="204">
        <v>39493</v>
      </c>
      <c r="BC68" s="203" t="s">
        <v>3071</v>
      </c>
    </row>
    <row r="69" spans="1:55" x14ac:dyDescent="0.2">
      <c r="A69" s="184" t="s">
        <v>841</v>
      </c>
      <c r="B69" s="184" t="s">
        <v>841</v>
      </c>
      <c r="C69" s="184" t="s">
        <v>723</v>
      </c>
      <c r="D69" s="185" t="s">
        <v>812</v>
      </c>
      <c r="E69" s="184" t="s">
        <v>842</v>
      </c>
      <c r="F69" s="184" t="s">
        <v>842</v>
      </c>
      <c r="G69" s="186">
        <f>IF(ALECA_Input!$F$13="ICAO (3000ft)",'Aircraft Calc'!C$218,'Aircraft Calc'!G$218)</f>
        <v>0</v>
      </c>
      <c r="H69" s="186">
        <f>IF(ALECA_Input!$F$13="ICAO (3000ft)",'Aircraft Calc'!D$218,'Aircraft Calc'!H$218)</f>
        <v>3</v>
      </c>
      <c r="I69" s="186">
        <f>IF(ALECA_Input!$F$13="ICAO (3000ft)",'Aircraft Calc'!E$218,'Aircraft Calc'!I$218)</f>
        <v>5.5</v>
      </c>
      <c r="J69" s="186">
        <v>1</v>
      </c>
      <c r="K69" s="187">
        <f t="shared" si="1"/>
        <v>22.719000000000001</v>
      </c>
      <c r="L69" s="187">
        <f t="shared" si="2"/>
        <v>0.2010102</v>
      </c>
      <c r="M69" s="187">
        <f t="shared" si="3"/>
        <v>0.16022039999999999</v>
      </c>
      <c r="N69" s="187">
        <f t="shared" si="4"/>
        <v>0.13236239999999999</v>
      </c>
      <c r="O69" s="187">
        <f t="shared" si="5"/>
        <v>1.6932639839999999E-2</v>
      </c>
      <c r="P69" s="188">
        <f t="shared" si="6"/>
        <v>1.634112E+18</v>
      </c>
      <c r="Q69" s="187">
        <f t="shared" si="7"/>
        <v>1668</v>
      </c>
      <c r="R69" s="219">
        <f t="shared" si="8"/>
        <v>9.5076000000000001</v>
      </c>
      <c r="S69" s="219">
        <f t="shared" si="9"/>
        <v>36.8628</v>
      </c>
      <c r="T69" s="219">
        <f t="shared" si="10"/>
        <v>41.533199999999994</v>
      </c>
      <c r="U69" s="219">
        <f t="shared" si="11"/>
        <v>0.67189875599999993</v>
      </c>
      <c r="V69" s="188">
        <f t="shared" si="12"/>
        <v>1.821456E+17</v>
      </c>
      <c r="W69" s="323">
        <v>6.9900000000000004E-2</v>
      </c>
      <c r="X69" s="323">
        <v>5.7099999999999998E-2</v>
      </c>
      <c r="Y69" s="323">
        <v>3.7699999999999997E-2</v>
      </c>
      <c r="Z69" s="323">
        <v>2.7799999999999998E-2</v>
      </c>
      <c r="AA69" s="323">
        <v>12.6</v>
      </c>
      <c r="AB69" s="323">
        <v>10.6</v>
      </c>
      <c r="AC69" s="323">
        <v>7.4</v>
      </c>
      <c r="AD69" s="323">
        <v>5.7</v>
      </c>
      <c r="AE69" s="323">
        <v>1.4</v>
      </c>
      <c r="AF69" s="323">
        <v>3</v>
      </c>
      <c r="AG69" s="323">
        <v>10.4</v>
      </c>
      <c r="AH69" s="323">
        <v>22.1</v>
      </c>
      <c r="AI69" s="323">
        <v>0.6</v>
      </c>
      <c r="AJ69" s="323">
        <v>1.5</v>
      </c>
      <c r="AK69" s="323">
        <v>9.4</v>
      </c>
      <c r="AL69" s="323">
        <v>24.9</v>
      </c>
      <c r="AN69" s="323">
        <v>0.2964</v>
      </c>
      <c r="AO69" s="323">
        <v>0.25340000000000001</v>
      </c>
      <c r="AP69" s="323">
        <v>0.2175</v>
      </c>
      <c r="AR69" s="323">
        <v>0.57335999999999998</v>
      </c>
      <c r="AS69" s="323">
        <v>0.88736000000000004</v>
      </c>
      <c r="AT69" s="323">
        <v>0.40281699999999998</v>
      </c>
      <c r="AV69" s="190">
        <v>2.1E+16</v>
      </c>
      <c r="AW69" s="190">
        <v>1.14E+17</v>
      </c>
      <c r="AX69" s="190">
        <v>1.092E+17</v>
      </c>
      <c r="AY69" s="203">
        <v>0.2</v>
      </c>
      <c r="BB69" s="204">
        <v>39493</v>
      </c>
      <c r="BC69" s="203" t="s">
        <v>3071</v>
      </c>
    </row>
    <row r="70" spans="1:55" x14ac:dyDescent="0.2">
      <c r="A70" s="184" t="s">
        <v>843</v>
      </c>
      <c r="B70" s="184" t="s">
        <v>843</v>
      </c>
      <c r="C70" s="184" t="s">
        <v>723</v>
      </c>
      <c r="D70" s="185" t="s">
        <v>812</v>
      </c>
      <c r="E70" s="184" t="s">
        <v>844</v>
      </c>
      <c r="F70" s="184" t="s">
        <v>845</v>
      </c>
      <c r="G70" s="186">
        <f>IF(ALECA_Input!$F$13="ICAO (3000ft)",'Aircraft Calc'!C$218,'Aircraft Calc'!G$218)</f>
        <v>0</v>
      </c>
      <c r="H70" s="186">
        <f>IF(ALECA_Input!$F$13="ICAO (3000ft)",'Aircraft Calc'!D$218,'Aircraft Calc'!H$218)</f>
        <v>3</v>
      </c>
      <c r="I70" s="186">
        <f>IF(ALECA_Input!$F$13="ICAO (3000ft)",'Aircraft Calc'!E$218,'Aircraft Calc'!I$218)</f>
        <v>5.5</v>
      </c>
      <c r="J70" s="186">
        <v>1</v>
      </c>
      <c r="K70" s="187">
        <f t="shared" si="1"/>
        <v>13.719000000000001</v>
      </c>
      <c r="L70" s="187">
        <f t="shared" si="2"/>
        <v>5.8477799999999996E-2</v>
      </c>
      <c r="M70" s="187">
        <f t="shared" si="3"/>
        <v>8.8241399999999998E-2</v>
      </c>
      <c r="N70" s="187">
        <f t="shared" si="4"/>
        <v>0.29435729999999999</v>
      </c>
      <c r="O70" s="187">
        <f t="shared" si="5"/>
        <v>9.0909720900000015E-3</v>
      </c>
      <c r="P70" s="188">
        <f t="shared" si="6"/>
        <v>8.6120748E+17</v>
      </c>
      <c r="Q70" s="187">
        <f t="shared" si="7"/>
        <v>1044</v>
      </c>
      <c r="R70" s="219">
        <f t="shared" si="8"/>
        <v>2.0880000000000001</v>
      </c>
      <c r="S70" s="219">
        <f t="shared" si="9"/>
        <v>39.463200000000001</v>
      </c>
      <c r="T70" s="219">
        <f t="shared" si="10"/>
        <v>52.2</v>
      </c>
      <c r="U70" s="219">
        <f t="shared" si="11"/>
        <v>0.50288018400000001</v>
      </c>
      <c r="V70" s="188">
        <f t="shared" si="12"/>
        <v>1.045044E+17</v>
      </c>
      <c r="W70" s="323">
        <v>4.2099999999999999E-2</v>
      </c>
      <c r="X70" s="323">
        <v>3.4599999999999999E-2</v>
      </c>
      <c r="Y70" s="323">
        <v>2.2700000000000001E-2</v>
      </c>
      <c r="Z70" s="323">
        <v>1.7399999999999999E-2</v>
      </c>
      <c r="AA70" s="323">
        <v>6.1</v>
      </c>
      <c r="AB70" s="323">
        <v>5.3</v>
      </c>
      <c r="AC70" s="323">
        <v>3.4</v>
      </c>
      <c r="AD70" s="323">
        <v>2</v>
      </c>
      <c r="AE70" s="323">
        <v>1</v>
      </c>
      <c r="AF70" s="323">
        <v>1.9</v>
      </c>
      <c r="AG70" s="323">
        <v>10.199999999999999</v>
      </c>
      <c r="AH70" s="323">
        <v>37.799999999999997</v>
      </c>
      <c r="AI70" s="323">
        <v>6.1</v>
      </c>
      <c r="AJ70" s="323">
        <v>11.3</v>
      </c>
      <c r="AK70" s="323">
        <v>29.9</v>
      </c>
      <c r="AL70" s="323">
        <v>50</v>
      </c>
      <c r="AN70" s="323">
        <v>0.24959999999999999</v>
      </c>
      <c r="AO70" s="323">
        <v>0.22259999999999999</v>
      </c>
      <c r="AP70" s="323">
        <v>0.19950000000000001</v>
      </c>
      <c r="AR70" s="323">
        <v>0.44296000000000002</v>
      </c>
      <c r="AS70" s="323">
        <v>0.84531000000000001</v>
      </c>
      <c r="AT70" s="323">
        <v>0.481686</v>
      </c>
      <c r="AV70" s="190">
        <v>1.776E+16</v>
      </c>
      <c r="AW70" s="190">
        <v>1.002E+17</v>
      </c>
      <c r="AX70" s="190">
        <v>1.001E+17</v>
      </c>
      <c r="AY70" s="203">
        <v>0.2</v>
      </c>
      <c r="BB70" s="204">
        <v>39493</v>
      </c>
      <c r="BC70" s="203" t="s">
        <v>3071</v>
      </c>
    </row>
    <row r="71" spans="1:55" x14ac:dyDescent="0.2">
      <c r="A71" s="184" t="s">
        <v>846</v>
      </c>
      <c r="B71" s="184" t="s">
        <v>846</v>
      </c>
      <c r="C71" s="184" t="s">
        <v>723</v>
      </c>
      <c r="D71" s="185" t="s">
        <v>812</v>
      </c>
      <c r="E71" s="184" t="s">
        <v>323</v>
      </c>
      <c r="F71" s="184" t="s">
        <v>847</v>
      </c>
      <c r="G71" s="186">
        <f>IF(ALECA_Input!$F$13="ICAO (3000ft)",'Aircraft Calc'!C$218,'Aircraft Calc'!G$218)</f>
        <v>0</v>
      </c>
      <c r="H71" s="186">
        <f>IF(ALECA_Input!$F$13="ICAO (3000ft)",'Aircraft Calc'!D$218,'Aircraft Calc'!H$218)</f>
        <v>3</v>
      </c>
      <c r="I71" s="186">
        <f>IF(ALECA_Input!$F$13="ICAO (3000ft)",'Aircraft Calc'!E$218,'Aircraft Calc'!I$218)</f>
        <v>5.5</v>
      </c>
      <c r="J71" s="186">
        <v>1</v>
      </c>
      <c r="K71" s="187">
        <f t="shared" si="1"/>
        <v>10.962</v>
      </c>
      <c r="L71" s="187">
        <f t="shared" si="2"/>
        <v>5.0119199999999989E-2</v>
      </c>
      <c r="M71" s="187">
        <f t="shared" si="3"/>
        <v>0.18199799999999997</v>
      </c>
      <c r="N71" s="187">
        <f t="shared" si="4"/>
        <v>0.36471239999999999</v>
      </c>
      <c r="O71" s="187">
        <f t="shared" si="5"/>
        <v>1.3479992819999998E-2</v>
      </c>
      <c r="P71" s="188">
        <f t="shared" si="6"/>
        <v>6.210972E+17</v>
      </c>
      <c r="Q71" s="187">
        <f t="shared" si="7"/>
        <v>894</v>
      </c>
      <c r="R71" s="219">
        <f t="shared" si="8"/>
        <v>3.0396000000000001</v>
      </c>
      <c r="S71" s="219">
        <f t="shared" si="9"/>
        <v>41.034599999999998</v>
      </c>
      <c r="T71" s="219">
        <f t="shared" si="10"/>
        <v>50.957999999999998</v>
      </c>
      <c r="U71" s="219">
        <f t="shared" si="11"/>
        <v>0.46323772200000002</v>
      </c>
      <c r="V71" s="188">
        <f t="shared" si="12"/>
        <v>8.38572E+16</v>
      </c>
      <c r="W71" s="323">
        <v>3.15E-2</v>
      </c>
      <c r="X71" s="323">
        <v>2.6800000000000001E-2</v>
      </c>
      <c r="Y71" s="323">
        <v>1.8599999999999998E-2</v>
      </c>
      <c r="Z71" s="323">
        <v>1.49E-2</v>
      </c>
      <c r="AA71" s="323">
        <v>5.8</v>
      </c>
      <c r="AB71" s="323">
        <v>5.3</v>
      </c>
      <c r="AC71" s="323">
        <v>4</v>
      </c>
      <c r="AD71" s="323">
        <v>3.4</v>
      </c>
      <c r="AE71" s="323">
        <v>2.6</v>
      </c>
      <c r="AF71" s="323">
        <v>4.9000000000000004</v>
      </c>
      <c r="AG71" s="323">
        <v>25.8</v>
      </c>
      <c r="AH71" s="323">
        <v>45.9</v>
      </c>
      <c r="AI71" s="323">
        <v>14.7</v>
      </c>
      <c r="AJ71" s="323">
        <v>21.4</v>
      </c>
      <c r="AK71" s="323">
        <v>42.6</v>
      </c>
      <c r="AL71" s="323">
        <v>57</v>
      </c>
      <c r="AN71" s="323">
        <v>0.2112</v>
      </c>
      <c r="AO71" s="323">
        <v>0.1988</v>
      </c>
      <c r="AP71" s="323">
        <v>0.186</v>
      </c>
      <c r="AR71" s="323">
        <v>0.63256000000000001</v>
      </c>
      <c r="AS71" s="323">
        <v>1.6990099999999999</v>
      </c>
      <c r="AT71" s="323">
        <v>0.51816300000000004</v>
      </c>
      <c r="AV71" s="190">
        <v>1.5E+16</v>
      </c>
      <c r="AW71" s="190">
        <v>8.94E+16</v>
      </c>
      <c r="AX71" s="190">
        <v>9.38E+16</v>
      </c>
      <c r="AY71" s="203">
        <v>0.2</v>
      </c>
      <c r="BB71" s="204">
        <v>39493</v>
      </c>
      <c r="BC71" s="203" t="s">
        <v>3071</v>
      </c>
    </row>
    <row r="72" spans="1:55" x14ac:dyDescent="0.2">
      <c r="A72" s="184" t="s">
        <v>848</v>
      </c>
      <c r="B72" s="184" t="s">
        <v>848</v>
      </c>
      <c r="C72" s="184" t="s">
        <v>723</v>
      </c>
      <c r="D72" s="185" t="s">
        <v>812</v>
      </c>
      <c r="E72" s="184" t="s">
        <v>208</v>
      </c>
      <c r="F72" s="184" t="s">
        <v>849</v>
      </c>
      <c r="G72" s="186">
        <f>IF(ALECA_Input!$F$13="ICAO (3000ft)",'Aircraft Calc'!C$218,'Aircraft Calc'!G$218)</f>
        <v>0</v>
      </c>
      <c r="H72" s="186">
        <f>IF(ALECA_Input!$F$13="ICAO (3000ft)",'Aircraft Calc'!D$218,'Aircraft Calc'!H$218)</f>
        <v>3</v>
      </c>
      <c r="I72" s="186">
        <f>IF(ALECA_Input!$F$13="ICAO (3000ft)",'Aircraft Calc'!E$218,'Aircraft Calc'!I$218)</f>
        <v>5.5</v>
      </c>
      <c r="J72" s="186">
        <v>1</v>
      </c>
      <c r="K72" s="187">
        <f t="shared" si="1"/>
        <v>12.800999999999998</v>
      </c>
      <c r="L72" s="187">
        <f t="shared" si="2"/>
        <v>6.4451700000000001E-2</v>
      </c>
      <c r="M72" s="187">
        <f t="shared" si="3"/>
        <v>9.7708199999999995E-2</v>
      </c>
      <c r="N72" s="187">
        <f t="shared" si="4"/>
        <v>0.31901549999999995</v>
      </c>
      <c r="O72" s="187">
        <f t="shared" si="5"/>
        <v>9.2957430600000002E-3</v>
      </c>
      <c r="P72" s="188">
        <f t="shared" si="6"/>
        <v>7.769808E+17</v>
      </c>
      <c r="Q72" s="187">
        <f t="shared" si="7"/>
        <v>1013.9999999999998</v>
      </c>
      <c r="R72" s="219">
        <f t="shared" si="8"/>
        <v>3.7517999999999994</v>
      </c>
      <c r="S72" s="219">
        <f t="shared" si="9"/>
        <v>37.619399999999992</v>
      </c>
      <c r="T72" s="219">
        <f t="shared" si="10"/>
        <v>51.004199999999983</v>
      </c>
      <c r="U72" s="219">
        <f t="shared" si="11"/>
        <v>0.47948713799999987</v>
      </c>
      <c r="V72" s="188">
        <f t="shared" si="12"/>
        <v>9.9371999999999984E+16</v>
      </c>
      <c r="W72" s="323">
        <v>3.7900000000000003E-2</v>
      </c>
      <c r="X72" s="323">
        <v>3.1699999999999999E-2</v>
      </c>
      <c r="Y72" s="323">
        <v>2.1499999999999998E-2</v>
      </c>
      <c r="Z72" s="323">
        <v>1.6899999999999998E-2</v>
      </c>
      <c r="AA72" s="323">
        <v>6.4</v>
      </c>
      <c r="AB72" s="323">
        <v>5.7</v>
      </c>
      <c r="AC72" s="323">
        <v>4.5</v>
      </c>
      <c r="AD72" s="323">
        <v>3.7</v>
      </c>
      <c r="AE72" s="323">
        <v>1.6</v>
      </c>
      <c r="AF72" s="323">
        <v>2.7</v>
      </c>
      <c r="AG72" s="323">
        <v>11.6</v>
      </c>
      <c r="AH72" s="323">
        <v>37.1</v>
      </c>
      <c r="AI72" s="323">
        <v>9.3000000000000007</v>
      </c>
      <c r="AJ72" s="323">
        <v>15</v>
      </c>
      <c r="AK72" s="323">
        <v>32.9</v>
      </c>
      <c r="AL72" s="323">
        <v>50.3</v>
      </c>
      <c r="AN72" s="323">
        <v>0.2364</v>
      </c>
      <c r="AO72" s="323">
        <v>0.2142</v>
      </c>
      <c r="AP72" s="323">
        <v>0.19500000000000001</v>
      </c>
      <c r="AR72" s="323">
        <v>0.49056</v>
      </c>
      <c r="AS72" s="323">
        <v>0.91566000000000003</v>
      </c>
      <c r="AT72" s="323">
        <v>0.47286699999999998</v>
      </c>
      <c r="AV72" s="190">
        <v>1.68E+16</v>
      </c>
      <c r="AW72" s="190">
        <v>9.6E+16</v>
      </c>
      <c r="AX72" s="190">
        <v>9.8E+16</v>
      </c>
      <c r="AY72" s="203">
        <v>0.2</v>
      </c>
      <c r="BB72" s="204">
        <v>39493</v>
      </c>
      <c r="BC72" s="203" t="s">
        <v>3071</v>
      </c>
    </row>
    <row r="73" spans="1:55" x14ac:dyDescent="0.2">
      <c r="A73" s="184" t="s">
        <v>850</v>
      </c>
      <c r="B73" s="184" t="s">
        <v>850</v>
      </c>
      <c r="C73" s="184" t="s">
        <v>723</v>
      </c>
      <c r="D73" s="185" t="s">
        <v>812</v>
      </c>
      <c r="E73" s="184" t="s">
        <v>851</v>
      </c>
      <c r="F73" s="184" t="s">
        <v>851</v>
      </c>
      <c r="G73" s="186">
        <f>IF(ALECA_Input!$F$13="ICAO (3000ft)",'Aircraft Calc'!C$218,'Aircraft Calc'!G$218)</f>
        <v>0</v>
      </c>
      <c r="H73" s="186">
        <f>IF(ALECA_Input!$F$13="ICAO (3000ft)",'Aircraft Calc'!D$218,'Aircraft Calc'!H$218)</f>
        <v>3</v>
      </c>
      <c r="I73" s="186">
        <f>IF(ALECA_Input!$F$13="ICAO (3000ft)",'Aircraft Calc'!E$218,'Aircraft Calc'!I$218)</f>
        <v>5.5</v>
      </c>
      <c r="J73" s="186">
        <v>1</v>
      </c>
      <c r="K73" s="187">
        <f t="shared" si="1"/>
        <v>12.800999999999998</v>
      </c>
      <c r="L73" s="187">
        <f t="shared" si="2"/>
        <v>7.1145E-2</v>
      </c>
      <c r="M73" s="187">
        <f t="shared" si="3"/>
        <v>2.2704000000000002E-2</v>
      </c>
      <c r="N73" s="187">
        <f t="shared" si="4"/>
        <v>0.16112759999999998</v>
      </c>
      <c r="O73" s="187">
        <f t="shared" si="5"/>
        <v>4.7724843599999999E-3</v>
      </c>
      <c r="P73" s="188">
        <f t="shared" si="6"/>
        <v>7.769808E+17</v>
      </c>
      <c r="Q73" s="187">
        <f t="shared" si="7"/>
        <v>1013.9999999999998</v>
      </c>
      <c r="R73" s="219">
        <f t="shared" si="8"/>
        <v>2.8391999999999991</v>
      </c>
      <c r="S73" s="219">
        <f t="shared" si="9"/>
        <v>12.066599999999998</v>
      </c>
      <c r="T73" s="219">
        <f t="shared" si="10"/>
        <v>30.724199999999993</v>
      </c>
      <c r="U73" s="219">
        <f t="shared" si="11"/>
        <v>0.32182636199999998</v>
      </c>
      <c r="V73" s="188">
        <f t="shared" si="12"/>
        <v>9.9371999999999984E+16</v>
      </c>
      <c r="W73" s="323">
        <v>3.7900000000000003E-2</v>
      </c>
      <c r="X73" s="323">
        <v>3.1699999999999999E-2</v>
      </c>
      <c r="Y73" s="323">
        <v>2.1499999999999998E-2</v>
      </c>
      <c r="Z73" s="323">
        <v>1.6899999999999998E-2</v>
      </c>
      <c r="AA73" s="323">
        <v>7.2</v>
      </c>
      <c r="AB73" s="323">
        <v>6.5</v>
      </c>
      <c r="AC73" s="323">
        <v>4.8</v>
      </c>
      <c r="AD73" s="323">
        <v>2.8</v>
      </c>
      <c r="AE73" s="323">
        <v>0</v>
      </c>
      <c r="AF73" s="323">
        <v>0</v>
      </c>
      <c r="AG73" s="323">
        <v>3.2</v>
      </c>
      <c r="AH73" s="323">
        <v>11.9</v>
      </c>
      <c r="AI73" s="323">
        <v>4.4000000000000004</v>
      </c>
      <c r="AJ73" s="323">
        <v>7.1</v>
      </c>
      <c r="AK73" s="323">
        <v>17</v>
      </c>
      <c r="AL73" s="323">
        <v>30.3</v>
      </c>
      <c r="AN73" s="323">
        <v>0.2364</v>
      </c>
      <c r="AO73" s="323">
        <v>0.2142</v>
      </c>
      <c r="AP73" s="323">
        <v>0.19500000000000001</v>
      </c>
      <c r="AR73" s="323">
        <v>0.28536</v>
      </c>
      <c r="AS73" s="323">
        <v>0.44316</v>
      </c>
      <c r="AT73" s="323">
        <v>0.31738300000000003</v>
      </c>
      <c r="AV73" s="190">
        <v>1.68E+16</v>
      </c>
      <c r="AW73" s="190">
        <v>9.6E+16</v>
      </c>
      <c r="AX73" s="190">
        <v>9.8E+16</v>
      </c>
      <c r="AY73" s="203">
        <v>0.2</v>
      </c>
      <c r="BB73" s="204">
        <v>39493</v>
      </c>
      <c r="BC73" s="203" t="s">
        <v>3071</v>
      </c>
    </row>
    <row r="74" spans="1:55" x14ac:dyDescent="0.2">
      <c r="A74" s="184" t="s">
        <v>852</v>
      </c>
      <c r="B74" s="184" t="s">
        <v>852</v>
      </c>
      <c r="C74" s="184" t="s">
        <v>723</v>
      </c>
      <c r="D74" s="185" t="s">
        <v>812</v>
      </c>
      <c r="E74" s="184" t="s">
        <v>853</v>
      </c>
      <c r="F74" s="184" t="s">
        <v>853</v>
      </c>
      <c r="G74" s="186">
        <f>IF(ALECA_Input!$F$13="ICAO (3000ft)",'Aircraft Calc'!C$218,'Aircraft Calc'!G$218)</f>
        <v>0</v>
      </c>
      <c r="H74" s="186">
        <f>IF(ALECA_Input!$F$13="ICAO (3000ft)",'Aircraft Calc'!D$218,'Aircraft Calc'!H$218)</f>
        <v>3</v>
      </c>
      <c r="I74" s="186">
        <f>IF(ALECA_Input!$F$13="ICAO (3000ft)",'Aircraft Calc'!E$218,'Aircraft Calc'!I$218)</f>
        <v>5.5</v>
      </c>
      <c r="J74" s="186">
        <v>1</v>
      </c>
      <c r="K74" s="187">
        <f t="shared" si="1"/>
        <v>13.719000000000001</v>
      </c>
      <c r="L74" s="187">
        <f t="shared" si="2"/>
        <v>5.8477799999999996E-2</v>
      </c>
      <c r="M74" s="187">
        <f t="shared" si="3"/>
        <v>8.8241399999999998E-2</v>
      </c>
      <c r="N74" s="187">
        <f t="shared" si="4"/>
        <v>0.29435729999999999</v>
      </c>
      <c r="O74" s="187">
        <f t="shared" si="5"/>
        <v>9.0909720900000015E-3</v>
      </c>
      <c r="P74" s="188">
        <f t="shared" si="6"/>
        <v>8.6120748E+17</v>
      </c>
      <c r="Q74" s="187">
        <f t="shared" si="7"/>
        <v>1044</v>
      </c>
      <c r="R74" s="219">
        <f t="shared" si="8"/>
        <v>2.0880000000000001</v>
      </c>
      <c r="S74" s="219">
        <f t="shared" si="9"/>
        <v>39.463200000000001</v>
      </c>
      <c r="T74" s="219">
        <f t="shared" si="10"/>
        <v>52.2</v>
      </c>
      <c r="U74" s="219">
        <f t="shared" si="11"/>
        <v>0.50288018400000001</v>
      </c>
      <c r="V74" s="188">
        <f t="shared" si="12"/>
        <v>1.045044E+17</v>
      </c>
      <c r="W74" s="323">
        <v>4.2099999999999999E-2</v>
      </c>
      <c r="X74" s="323">
        <v>3.4599999999999999E-2</v>
      </c>
      <c r="Y74" s="323">
        <v>2.2700000000000001E-2</v>
      </c>
      <c r="Z74" s="323">
        <v>1.7399999999999999E-2</v>
      </c>
      <c r="AA74" s="323">
        <v>6.1</v>
      </c>
      <c r="AB74" s="323">
        <v>5.3</v>
      </c>
      <c r="AC74" s="323">
        <v>3.4</v>
      </c>
      <c r="AD74" s="323">
        <v>2</v>
      </c>
      <c r="AE74" s="323">
        <v>1</v>
      </c>
      <c r="AF74" s="323">
        <v>1.9</v>
      </c>
      <c r="AG74" s="323">
        <v>10.199999999999999</v>
      </c>
      <c r="AH74" s="323">
        <v>37.799999999999997</v>
      </c>
      <c r="AI74" s="323">
        <v>6.1</v>
      </c>
      <c r="AJ74" s="323">
        <v>11.3</v>
      </c>
      <c r="AK74" s="323">
        <v>29.9</v>
      </c>
      <c r="AL74" s="323">
        <v>50</v>
      </c>
      <c r="AN74" s="323">
        <v>0.24959999999999999</v>
      </c>
      <c r="AO74" s="323">
        <v>0.22259999999999999</v>
      </c>
      <c r="AP74" s="323">
        <v>0.19950000000000001</v>
      </c>
      <c r="AR74" s="323">
        <v>0.44296000000000002</v>
      </c>
      <c r="AS74" s="323">
        <v>0.84531000000000001</v>
      </c>
      <c r="AT74" s="323">
        <v>0.481686</v>
      </c>
      <c r="AV74" s="190">
        <v>1.776E+16</v>
      </c>
      <c r="AW74" s="190">
        <v>1.002E+17</v>
      </c>
      <c r="AX74" s="190">
        <v>1.001E+17</v>
      </c>
      <c r="AY74" s="203">
        <v>0.2</v>
      </c>
      <c r="BB74" s="204">
        <v>39493</v>
      </c>
      <c r="BC74" s="203" t="s">
        <v>3071</v>
      </c>
    </row>
    <row r="75" spans="1:55" x14ac:dyDescent="0.2">
      <c r="A75" s="184" t="s">
        <v>854</v>
      </c>
      <c r="B75" s="184" t="s">
        <v>854</v>
      </c>
      <c r="C75" s="184" t="s">
        <v>723</v>
      </c>
      <c r="D75" s="185" t="s">
        <v>812</v>
      </c>
      <c r="E75" s="184" t="s">
        <v>853</v>
      </c>
      <c r="F75" s="184" t="s">
        <v>853</v>
      </c>
      <c r="G75" s="186">
        <f>IF(ALECA_Input!$F$13="ICAO (3000ft)",'Aircraft Calc'!C$218,'Aircraft Calc'!G$218)</f>
        <v>0</v>
      </c>
      <c r="H75" s="186">
        <f>IF(ALECA_Input!$F$13="ICAO (3000ft)",'Aircraft Calc'!D$218,'Aircraft Calc'!H$218)</f>
        <v>3</v>
      </c>
      <c r="I75" s="186">
        <f>IF(ALECA_Input!$F$13="ICAO (3000ft)",'Aircraft Calc'!E$218,'Aircraft Calc'!I$218)</f>
        <v>5.5</v>
      </c>
      <c r="J75" s="186">
        <v>1</v>
      </c>
      <c r="K75" s="187">
        <f t="shared" si="1"/>
        <v>13.737</v>
      </c>
      <c r="L75" s="187">
        <f t="shared" si="2"/>
        <v>6.0446999999999994E-2</v>
      </c>
      <c r="M75" s="187">
        <f t="shared" si="3"/>
        <v>0.11037510000000002</v>
      </c>
      <c r="N75" s="187">
        <f t="shared" si="4"/>
        <v>0.29518319999999998</v>
      </c>
      <c r="O75" s="187">
        <f t="shared" si="5"/>
        <v>1.0379049794999999E-2</v>
      </c>
      <c r="P75" s="188">
        <f t="shared" si="6"/>
        <v>8.6152716E+17</v>
      </c>
      <c r="Q75" s="187">
        <f t="shared" si="7"/>
        <v>804</v>
      </c>
      <c r="R75" s="219">
        <f t="shared" si="8"/>
        <v>0.72360000000000002</v>
      </c>
      <c r="S75" s="219">
        <f t="shared" si="9"/>
        <v>40.9236</v>
      </c>
      <c r="T75" s="219">
        <f t="shared" si="10"/>
        <v>54.3504</v>
      </c>
      <c r="U75" s="219">
        <f t="shared" si="11"/>
        <v>0.45226045200000003</v>
      </c>
      <c r="V75" s="188">
        <f t="shared" si="12"/>
        <v>8.04804E+16</v>
      </c>
      <c r="X75" s="323">
        <v>3.4700000000000002E-2</v>
      </c>
      <c r="Y75" s="323">
        <v>2.2700000000000001E-2</v>
      </c>
      <c r="Z75" s="323">
        <v>1.34E-2</v>
      </c>
      <c r="AB75" s="323">
        <v>5.6</v>
      </c>
      <c r="AC75" s="323">
        <v>3.4</v>
      </c>
      <c r="AD75" s="323">
        <v>0.9</v>
      </c>
      <c r="AF75" s="323">
        <v>2.2000000000000002</v>
      </c>
      <c r="AG75" s="323">
        <v>12.9</v>
      </c>
      <c r="AH75" s="323">
        <v>50.9</v>
      </c>
      <c r="AJ75" s="323">
        <v>10.8</v>
      </c>
      <c r="AK75" s="323">
        <v>30.4</v>
      </c>
      <c r="AL75" s="323">
        <v>67.599999999999994</v>
      </c>
      <c r="AN75" s="323">
        <v>0.24959999999999999</v>
      </c>
      <c r="AO75" s="323">
        <v>0.22259999999999999</v>
      </c>
      <c r="AP75" s="323">
        <v>0.19950000000000001</v>
      </c>
      <c r="AR75" s="323">
        <v>0.46576000000000001</v>
      </c>
      <c r="AS75" s="323">
        <v>0.99718499999999999</v>
      </c>
      <c r="AT75" s="323">
        <v>0.56251300000000004</v>
      </c>
      <c r="AV75" s="190">
        <v>1.776E+16</v>
      </c>
      <c r="AW75" s="190">
        <v>1.002E+17</v>
      </c>
      <c r="AX75" s="190">
        <v>1.001E+17</v>
      </c>
      <c r="AY75" s="203">
        <v>0.2</v>
      </c>
      <c r="BB75" s="204">
        <v>42502</v>
      </c>
      <c r="BC75" s="203" t="s">
        <v>3072</v>
      </c>
    </row>
    <row r="76" spans="1:55" x14ac:dyDescent="0.2">
      <c r="A76" s="184" t="s">
        <v>855</v>
      </c>
      <c r="B76" s="184" t="s">
        <v>855</v>
      </c>
      <c r="C76" s="184" t="s">
        <v>723</v>
      </c>
      <c r="D76" s="185" t="s">
        <v>812</v>
      </c>
      <c r="E76" s="184" t="s">
        <v>856</v>
      </c>
      <c r="F76" s="184" t="s">
        <v>3073</v>
      </c>
      <c r="G76" s="186">
        <f>IF(ALECA_Input!$F$13="ICAO (3000ft)",'Aircraft Calc'!C$218,'Aircraft Calc'!G$218)</f>
        <v>0</v>
      </c>
      <c r="H76" s="186">
        <f>IF(ALECA_Input!$F$13="ICAO (3000ft)",'Aircraft Calc'!D$218,'Aircraft Calc'!H$218)</f>
        <v>3</v>
      </c>
      <c r="I76" s="186">
        <f>IF(ALECA_Input!$F$13="ICAO (3000ft)",'Aircraft Calc'!E$218,'Aircraft Calc'!I$218)</f>
        <v>5.5</v>
      </c>
      <c r="J76" s="186">
        <v>1</v>
      </c>
      <c r="K76" s="187">
        <f t="shared" si="1"/>
        <v>16.884</v>
      </c>
      <c r="L76" s="187">
        <f t="shared" si="2"/>
        <v>9.9493200000000004E-2</v>
      </c>
      <c r="M76" s="187">
        <f t="shared" si="3"/>
        <v>0.12819636000000001</v>
      </c>
      <c r="N76" s="187">
        <f t="shared" si="4"/>
        <v>0.16012799999999999</v>
      </c>
      <c r="O76" s="187">
        <f t="shared" si="5"/>
        <v>1.2732315839999999E-2</v>
      </c>
      <c r="P76" s="188">
        <f t="shared" si="6"/>
        <v>8.783694E+17</v>
      </c>
      <c r="Q76" s="187">
        <f t="shared" si="7"/>
        <v>804</v>
      </c>
      <c r="R76" s="219">
        <f t="shared" si="8"/>
        <v>1.4472</v>
      </c>
      <c r="S76" s="219">
        <f t="shared" si="9"/>
        <v>49.703280000000007</v>
      </c>
      <c r="T76" s="219">
        <f t="shared" si="10"/>
        <v>65.686800000000005</v>
      </c>
      <c r="U76" s="219">
        <f t="shared" si="11"/>
        <v>0.48592907759999998</v>
      </c>
      <c r="V76" s="188">
        <f t="shared" si="12"/>
        <v>7.26012E+16</v>
      </c>
      <c r="X76" s="323">
        <v>4.1000000000000002E-2</v>
      </c>
      <c r="Y76" s="323">
        <v>2.8799999999999999E-2</v>
      </c>
      <c r="Z76" s="323">
        <v>1.34E-2</v>
      </c>
      <c r="AB76" s="323">
        <v>7.3</v>
      </c>
      <c r="AC76" s="323">
        <v>4.8</v>
      </c>
      <c r="AD76" s="323">
        <v>1.8</v>
      </c>
      <c r="AF76" s="323">
        <v>4.57</v>
      </c>
      <c r="AG76" s="323">
        <v>9.94</v>
      </c>
      <c r="AH76" s="323">
        <v>61.82</v>
      </c>
      <c r="AJ76" s="323">
        <v>5.6</v>
      </c>
      <c r="AK76" s="323">
        <v>12.5</v>
      </c>
      <c r="AL76" s="323">
        <v>81.7</v>
      </c>
      <c r="AN76" s="323">
        <v>0.25559999999999999</v>
      </c>
      <c r="AO76" s="323">
        <v>0.22539999999999999</v>
      </c>
      <c r="AP76" s="323">
        <v>0.17399999999999999</v>
      </c>
      <c r="AR76" s="323">
        <v>0.65188000000000001</v>
      </c>
      <c r="AS76" s="323">
        <v>0.83348500000000003</v>
      </c>
      <c r="AT76" s="323">
        <v>0.60438939999999997</v>
      </c>
      <c r="AV76" s="190">
        <v>1.239E+16</v>
      </c>
      <c r="AW76" s="190">
        <v>8.28E+16</v>
      </c>
      <c r="AX76" s="190">
        <v>9.03E+16</v>
      </c>
      <c r="AY76" s="203">
        <v>0.2</v>
      </c>
      <c r="BB76" s="204">
        <v>42502</v>
      </c>
      <c r="BC76" s="203" t="s">
        <v>3072</v>
      </c>
    </row>
    <row r="77" spans="1:55" x14ac:dyDescent="0.2">
      <c r="A77" s="184" t="s">
        <v>857</v>
      </c>
      <c r="B77" s="184" t="s">
        <v>857</v>
      </c>
      <c r="C77" s="184" t="s">
        <v>723</v>
      </c>
      <c r="D77" s="185" t="s">
        <v>812</v>
      </c>
      <c r="E77" s="184" t="s">
        <v>858</v>
      </c>
      <c r="F77" s="184" t="s">
        <v>858</v>
      </c>
      <c r="G77" s="186">
        <f>IF(ALECA_Input!$F$13="ICAO (3000ft)",'Aircraft Calc'!C$218,'Aircraft Calc'!G$218)</f>
        <v>0</v>
      </c>
      <c r="H77" s="186">
        <f>IF(ALECA_Input!$F$13="ICAO (3000ft)",'Aircraft Calc'!D$218,'Aircraft Calc'!H$218)</f>
        <v>3</v>
      </c>
      <c r="I77" s="186">
        <f>IF(ALECA_Input!$F$13="ICAO (3000ft)",'Aircraft Calc'!E$218,'Aircraft Calc'!I$218)</f>
        <v>5.5</v>
      </c>
      <c r="J77" s="186">
        <v>1</v>
      </c>
      <c r="K77" s="187">
        <f t="shared" si="1"/>
        <v>15.239999999999998</v>
      </c>
      <c r="L77" s="187">
        <f t="shared" si="2"/>
        <v>8.3232E-2</v>
      </c>
      <c r="M77" s="187">
        <f t="shared" si="3"/>
        <v>0.1329486</v>
      </c>
      <c r="N77" s="187">
        <f t="shared" si="4"/>
        <v>0.16684199999999999</v>
      </c>
      <c r="O77" s="187">
        <f t="shared" si="5"/>
        <v>1.2391311899999998E-2</v>
      </c>
      <c r="P77" s="188">
        <f t="shared" si="6"/>
        <v>7.628058E+17</v>
      </c>
      <c r="Q77" s="187">
        <f t="shared" si="7"/>
        <v>750</v>
      </c>
      <c r="R77" s="219">
        <f t="shared" si="8"/>
        <v>1.2749999999999999</v>
      </c>
      <c r="S77" s="219">
        <f t="shared" si="9"/>
        <v>53.227499999999999</v>
      </c>
      <c r="T77" s="219">
        <f t="shared" si="10"/>
        <v>70.650000000000006</v>
      </c>
      <c r="U77" s="219">
        <f t="shared" si="11"/>
        <v>0.49450867500000001</v>
      </c>
      <c r="V77" s="188">
        <f t="shared" si="12"/>
        <v>6.72E+16</v>
      </c>
      <c r="X77" s="323">
        <v>3.6999999999999998E-2</v>
      </c>
      <c r="Y77" s="323">
        <v>2.5999999999999999E-2</v>
      </c>
      <c r="Z77" s="323">
        <v>1.2500000000000001E-2</v>
      </c>
      <c r="AB77" s="323">
        <v>6.7</v>
      </c>
      <c r="AC77" s="323">
        <v>4.5</v>
      </c>
      <c r="AD77" s="323">
        <v>1.7</v>
      </c>
      <c r="AF77" s="323">
        <v>5.25</v>
      </c>
      <c r="AG77" s="323">
        <v>11.42</v>
      </c>
      <c r="AH77" s="323">
        <v>70.97</v>
      </c>
      <c r="AJ77" s="323">
        <v>6.5</v>
      </c>
      <c r="AK77" s="323">
        <v>14.4</v>
      </c>
      <c r="AL77" s="323">
        <v>94.2</v>
      </c>
      <c r="AN77" s="323">
        <v>0.2424</v>
      </c>
      <c r="AO77" s="323">
        <v>0.217</v>
      </c>
      <c r="AP77" s="323">
        <v>0.17249999999999999</v>
      </c>
      <c r="AR77" s="323">
        <v>0.69035999999999997</v>
      </c>
      <c r="AS77" s="323">
        <v>0.908335</v>
      </c>
      <c r="AT77" s="323">
        <v>0.65934490000000001</v>
      </c>
      <c r="AV77" s="190">
        <v>1.173E+16</v>
      </c>
      <c r="AW77" s="190">
        <v>7.98E+16</v>
      </c>
      <c r="AX77" s="190">
        <v>8.96E+16</v>
      </c>
      <c r="AY77" s="203">
        <v>0.2</v>
      </c>
      <c r="BB77" s="204">
        <v>42502</v>
      </c>
      <c r="BC77" s="203" t="s">
        <v>3072</v>
      </c>
    </row>
    <row r="78" spans="1:55" x14ac:dyDescent="0.2">
      <c r="A78" s="184" t="s">
        <v>859</v>
      </c>
      <c r="B78" s="184" t="s">
        <v>859</v>
      </c>
      <c r="C78" s="184" t="s">
        <v>723</v>
      </c>
      <c r="D78" s="185" t="s">
        <v>812</v>
      </c>
      <c r="E78" s="184" t="s">
        <v>860</v>
      </c>
      <c r="F78" s="184" t="s">
        <v>860</v>
      </c>
      <c r="G78" s="186">
        <f>IF(ALECA_Input!$F$13="ICAO (3000ft)",'Aircraft Calc'!C$218,'Aircraft Calc'!G$218)</f>
        <v>0</v>
      </c>
      <c r="H78" s="186">
        <f>IF(ALECA_Input!$F$13="ICAO (3000ft)",'Aircraft Calc'!D$218,'Aircraft Calc'!H$218)</f>
        <v>3</v>
      </c>
      <c r="I78" s="186">
        <f>IF(ALECA_Input!$F$13="ICAO (3000ft)",'Aircraft Calc'!E$218,'Aircraft Calc'!I$218)</f>
        <v>5.5</v>
      </c>
      <c r="J78" s="186">
        <v>1</v>
      </c>
      <c r="K78" s="187">
        <f t="shared" si="1"/>
        <v>13.5</v>
      </c>
      <c r="L78" s="187">
        <f t="shared" si="2"/>
        <v>6.1901999999999999E-2</v>
      </c>
      <c r="M78" s="187">
        <f t="shared" si="3"/>
        <v>0.16372800000000001</v>
      </c>
      <c r="N78" s="187">
        <f t="shared" si="4"/>
        <v>0.20647799999999999</v>
      </c>
      <c r="O78" s="187">
        <f t="shared" si="5"/>
        <v>1.3448303999999999E-2</v>
      </c>
      <c r="P78" s="188">
        <f t="shared" si="6"/>
        <v>6.425838E+17</v>
      </c>
      <c r="Q78" s="187">
        <f t="shared" si="7"/>
        <v>648</v>
      </c>
      <c r="R78" s="219">
        <f t="shared" si="8"/>
        <v>0.97199999999999998</v>
      </c>
      <c r="S78" s="219">
        <f t="shared" si="9"/>
        <v>62.752320000000005</v>
      </c>
      <c r="T78" s="219">
        <f t="shared" si="10"/>
        <v>83.980800000000002</v>
      </c>
      <c r="U78" s="219">
        <f t="shared" si="11"/>
        <v>0.52874389440000003</v>
      </c>
      <c r="V78" s="188">
        <f t="shared" si="12"/>
        <v>5.71536E+16</v>
      </c>
      <c r="X78" s="323">
        <v>3.1E-2</v>
      </c>
      <c r="Y78" s="323">
        <v>2.4E-2</v>
      </c>
      <c r="Z78" s="323">
        <v>1.0800000000000001E-2</v>
      </c>
      <c r="AB78" s="323">
        <v>5.7</v>
      </c>
      <c r="AC78" s="323">
        <v>3.8</v>
      </c>
      <c r="AD78" s="323">
        <v>1.5</v>
      </c>
      <c r="AF78" s="323">
        <v>7.2</v>
      </c>
      <c r="AG78" s="323">
        <v>15.6</v>
      </c>
      <c r="AH78" s="323">
        <v>96.84</v>
      </c>
      <c r="AJ78" s="323">
        <v>8.9</v>
      </c>
      <c r="AK78" s="323">
        <v>19.8</v>
      </c>
      <c r="AL78" s="323">
        <v>129.6</v>
      </c>
      <c r="AN78" s="323">
        <v>0.21479999999999999</v>
      </c>
      <c r="AO78" s="323">
        <v>0.20019999999999999</v>
      </c>
      <c r="AP78" s="323">
        <v>0.16950000000000001</v>
      </c>
      <c r="AR78" s="323">
        <v>0.81096000000000001</v>
      </c>
      <c r="AS78" s="323">
        <v>1.12666</v>
      </c>
      <c r="AT78" s="323">
        <v>0.81596279999999999</v>
      </c>
      <c r="AV78" s="190">
        <v>1.041E+16</v>
      </c>
      <c r="AW78" s="190">
        <v>7.38E+16</v>
      </c>
      <c r="AX78" s="190">
        <v>8.82E+16</v>
      </c>
      <c r="AY78" s="203">
        <v>0.2</v>
      </c>
      <c r="BB78" s="204">
        <v>42502</v>
      </c>
      <c r="BC78" s="203" t="s">
        <v>3072</v>
      </c>
    </row>
    <row r="79" spans="1:55" x14ac:dyDescent="0.2">
      <c r="A79" s="184" t="s">
        <v>861</v>
      </c>
      <c r="B79" s="184" t="s">
        <v>861</v>
      </c>
      <c r="C79" s="184" t="s">
        <v>723</v>
      </c>
      <c r="D79" s="185" t="s">
        <v>812</v>
      </c>
      <c r="E79" s="184" t="s">
        <v>862</v>
      </c>
      <c r="F79" s="184" t="s">
        <v>863</v>
      </c>
      <c r="G79" s="186">
        <f>IF(ALECA_Input!$F$13="ICAO (3000ft)",'Aircraft Calc'!C$218,'Aircraft Calc'!G$218)</f>
        <v>0</v>
      </c>
      <c r="H79" s="186">
        <f>IF(ALECA_Input!$F$13="ICAO (3000ft)",'Aircraft Calc'!D$218,'Aircraft Calc'!H$218)</f>
        <v>3</v>
      </c>
      <c r="I79" s="186">
        <f>IF(ALECA_Input!$F$13="ICAO (3000ft)",'Aircraft Calc'!E$218,'Aircraft Calc'!I$218)</f>
        <v>5.5</v>
      </c>
      <c r="J79" s="186">
        <v>1</v>
      </c>
      <c r="K79" s="187">
        <f t="shared" si="1"/>
        <v>23.46</v>
      </c>
      <c r="L79" s="187">
        <f t="shared" si="2"/>
        <v>0.16113</v>
      </c>
      <c r="M79" s="187">
        <f t="shared" si="3"/>
        <v>0.13256399999999999</v>
      </c>
      <c r="N79" s="187">
        <f t="shared" si="4"/>
        <v>0.165852</v>
      </c>
      <c r="O79" s="187">
        <f t="shared" si="5"/>
        <v>1.56001896E-2</v>
      </c>
      <c r="P79" s="188">
        <f t="shared" si="6"/>
        <v>1.6769664E+18</v>
      </c>
      <c r="Q79" s="187">
        <f t="shared" si="7"/>
        <v>1140</v>
      </c>
      <c r="R79" s="219">
        <f t="shared" si="8"/>
        <v>2.508</v>
      </c>
      <c r="S79" s="219">
        <f t="shared" si="9"/>
        <v>51.3</v>
      </c>
      <c r="T79" s="219">
        <f t="shared" si="10"/>
        <v>68.399999999999991</v>
      </c>
      <c r="U79" s="219">
        <f t="shared" si="11"/>
        <v>0.57753539999999992</v>
      </c>
      <c r="V79" s="188">
        <f t="shared" si="12"/>
        <v>1.0294199999999998E+17</v>
      </c>
      <c r="X79" s="323">
        <v>5.7000000000000002E-2</v>
      </c>
      <c r="Y79" s="323">
        <v>0.04</v>
      </c>
      <c r="Z79" s="323">
        <v>1.9E-2</v>
      </c>
      <c r="AB79" s="323">
        <v>8.5</v>
      </c>
      <c r="AC79" s="323">
        <v>5.6</v>
      </c>
      <c r="AD79" s="323">
        <v>2.2000000000000002</v>
      </c>
      <c r="AF79" s="323">
        <v>3.4</v>
      </c>
      <c r="AG79" s="323">
        <v>7.4</v>
      </c>
      <c r="AH79" s="323">
        <v>45</v>
      </c>
      <c r="AJ79" s="323">
        <v>4.2</v>
      </c>
      <c r="AK79" s="323">
        <v>9.3000000000000007</v>
      </c>
      <c r="AL79" s="323">
        <v>60</v>
      </c>
      <c r="AN79" s="323">
        <v>0.29039999999999999</v>
      </c>
      <c r="AO79" s="323">
        <v>0.252</v>
      </c>
      <c r="AP79" s="323">
        <v>0.18</v>
      </c>
      <c r="AR79" s="323">
        <v>0.59775999999999996</v>
      </c>
      <c r="AS79" s="323">
        <v>0.71721000000000001</v>
      </c>
      <c r="AT79" s="323">
        <v>0.50661</v>
      </c>
      <c r="AV79" s="190">
        <v>2.064E+16</v>
      </c>
      <c r="AW79" s="190">
        <v>1.11E+17</v>
      </c>
      <c r="AX79" s="190">
        <v>9.03E+16</v>
      </c>
      <c r="AY79" s="203">
        <v>0.7</v>
      </c>
      <c r="BB79" s="204">
        <v>42669</v>
      </c>
      <c r="BC79" s="203" t="s">
        <v>864</v>
      </c>
    </row>
    <row r="80" spans="1:55" x14ac:dyDescent="0.2">
      <c r="A80" s="184" t="s">
        <v>865</v>
      </c>
      <c r="B80" s="184" t="s">
        <v>865</v>
      </c>
      <c r="C80" s="184" t="s">
        <v>723</v>
      </c>
      <c r="D80" s="185" t="s">
        <v>812</v>
      </c>
      <c r="E80" s="184" t="s">
        <v>244</v>
      </c>
      <c r="F80" s="184" t="s">
        <v>244</v>
      </c>
      <c r="G80" s="186">
        <f>IF(ALECA_Input!$F$13="ICAO (3000ft)",'Aircraft Calc'!C$218,'Aircraft Calc'!G$218)</f>
        <v>0</v>
      </c>
      <c r="H80" s="186">
        <f>IF(ALECA_Input!$F$13="ICAO (3000ft)",'Aircraft Calc'!D$218,'Aircraft Calc'!H$218)</f>
        <v>3</v>
      </c>
      <c r="I80" s="186">
        <f>IF(ALECA_Input!$F$13="ICAO (3000ft)",'Aircraft Calc'!E$218,'Aircraft Calc'!I$218)</f>
        <v>5.5</v>
      </c>
      <c r="J80" s="186">
        <v>1</v>
      </c>
      <c r="K80" s="187">
        <f t="shared" si="1"/>
        <v>30.287548350000002</v>
      </c>
      <c r="L80" s="187">
        <f t="shared" si="2"/>
        <v>0.27835084228500001</v>
      </c>
      <c r="M80" s="187">
        <f t="shared" si="3"/>
        <v>9.8846311823999999E-2</v>
      </c>
      <c r="N80" s="187">
        <f t="shared" si="4"/>
        <v>0.12145472572499999</v>
      </c>
      <c r="O80" s="187">
        <f t="shared" si="5"/>
        <v>1.7718227056338753E-2</v>
      </c>
      <c r="P80" s="188">
        <f t="shared" si="6"/>
        <v>2.6695499285013478E+18</v>
      </c>
      <c r="Q80" s="187">
        <f t="shared" si="7"/>
        <v>1378.6917599999999</v>
      </c>
      <c r="R80" s="219">
        <f t="shared" si="8"/>
        <v>3.9982061039999999</v>
      </c>
      <c r="S80" s="219">
        <f t="shared" si="9"/>
        <v>36.121724111999995</v>
      </c>
      <c r="T80" s="219">
        <f t="shared" si="10"/>
        <v>46.599781487999991</v>
      </c>
      <c r="U80" s="219">
        <f t="shared" si="11"/>
        <v>0.55714864190063995</v>
      </c>
      <c r="V80" s="188">
        <f t="shared" si="12"/>
        <v>1.34307877314744E+17</v>
      </c>
      <c r="X80" s="323">
        <v>7.4845364999999997E-2</v>
      </c>
      <c r="Y80" s="323">
        <v>5.0955704999999997E-2</v>
      </c>
      <c r="Z80" s="323">
        <v>2.2978195999999999E-2</v>
      </c>
      <c r="AB80" s="323">
        <v>11.3</v>
      </c>
      <c r="AC80" s="323">
        <v>7.5</v>
      </c>
      <c r="AD80" s="323">
        <v>2.9</v>
      </c>
      <c r="AF80" s="323">
        <v>1.97</v>
      </c>
      <c r="AG80" s="323">
        <v>4.3</v>
      </c>
      <c r="AH80" s="323">
        <v>26.2</v>
      </c>
      <c r="AJ80" s="323">
        <v>2.4</v>
      </c>
      <c r="AK80" s="323">
        <v>5.3</v>
      </c>
      <c r="AL80" s="323">
        <v>33.799999999999997</v>
      </c>
      <c r="AN80" s="323">
        <v>0.37080000000000002</v>
      </c>
      <c r="AO80" s="323">
        <v>0.30659999999999998</v>
      </c>
      <c r="AP80" s="323">
        <v>0.19350000000000001</v>
      </c>
      <c r="AR80" s="323">
        <v>0.56947999999999999</v>
      </c>
      <c r="AS80" s="323">
        <v>0.59743500000000005</v>
      </c>
      <c r="AT80" s="323">
        <v>0.40411399999999997</v>
      </c>
      <c r="AV80" s="190">
        <v>2.637234E+16</v>
      </c>
      <c r="AW80" s="190">
        <v>1.376274E+17</v>
      </c>
      <c r="AX80" s="190">
        <v>9.74169E+16</v>
      </c>
      <c r="AY80" s="203">
        <v>0.7</v>
      </c>
      <c r="BB80" s="204">
        <v>43083</v>
      </c>
      <c r="BC80" s="203" t="s">
        <v>864</v>
      </c>
    </row>
    <row r="81" spans="1:55" x14ac:dyDescent="0.2">
      <c r="A81" s="184" t="s">
        <v>866</v>
      </c>
      <c r="B81" s="184" t="s">
        <v>866</v>
      </c>
      <c r="C81" s="184" t="s">
        <v>869</v>
      </c>
      <c r="D81" s="185" t="s">
        <v>812</v>
      </c>
      <c r="E81" s="184" t="s">
        <v>867</v>
      </c>
      <c r="F81" s="184" t="s">
        <v>868</v>
      </c>
      <c r="G81" s="186">
        <f>IF(ALECA_Input!$F$13="ICAO (3000ft)",'Aircraft Calc'!C$218,'Aircraft Calc'!G$218)</f>
        <v>0</v>
      </c>
      <c r="H81" s="186">
        <f>IF(ALECA_Input!$F$13="ICAO (3000ft)",'Aircraft Calc'!D$218,'Aircraft Calc'!H$218)</f>
        <v>3</v>
      </c>
      <c r="I81" s="186">
        <f>IF(ALECA_Input!$F$13="ICAO (3000ft)",'Aircraft Calc'!E$218,'Aircraft Calc'!I$218)</f>
        <v>5.5</v>
      </c>
      <c r="J81" s="186">
        <v>1</v>
      </c>
      <c r="K81" s="187">
        <f t="shared" si="1"/>
        <v>16.743000000000002</v>
      </c>
      <c r="L81" s="187">
        <f t="shared" si="2"/>
        <v>9.7819199999999995E-2</v>
      </c>
      <c r="M81" s="187">
        <f t="shared" si="3"/>
        <v>0.12939918</v>
      </c>
      <c r="N81" s="187">
        <f t="shared" si="4"/>
        <v>0.16173209999999999</v>
      </c>
      <c r="O81" s="187">
        <f t="shared" si="5"/>
        <v>1.2736348035000001E-2</v>
      </c>
      <c r="P81" s="188">
        <f t="shared" si="6"/>
        <v>8.6817996E+17</v>
      </c>
      <c r="Q81" s="187">
        <f t="shared" si="7"/>
        <v>797.99999999999989</v>
      </c>
      <c r="R81" s="219">
        <f t="shared" si="8"/>
        <v>1.4363999999999999</v>
      </c>
      <c r="S81" s="219">
        <f t="shared" si="9"/>
        <v>50.082479999999997</v>
      </c>
      <c r="T81" s="219">
        <f t="shared" si="10"/>
        <v>66.233999999999995</v>
      </c>
      <c r="U81" s="219">
        <f t="shared" si="11"/>
        <v>0.48693098159999992</v>
      </c>
      <c r="V81" s="188">
        <f t="shared" si="12"/>
        <v>7.20594E+16</v>
      </c>
      <c r="X81" s="323">
        <v>4.0399999999999998E-2</v>
      </c>
      <c r="Y81" s="323">
        <v>2.87E-2</v>
      </c>
      <c r="Z81" s="323">
        <v>1.3299999999999999E-2</v>
      </c>
      <c r="AB81" s="323">
        <v>7.2</v>
      </c>
      <c r="AC81" s="323">
        <v>4.8</v>
      </c>
      <c r="AD81" s="323">
        <v>1.8</v>
      </c>
      <c r="AF81" s="323">
        <v>4.6399999999999997</v>
      </c>
      <c r="AG81" s="323">
        <v>10.1</v>
      </c>
      <c r="AH81" s="323">
        <v>62.76</v>
      </c>
      <c r="AJ81" s="323">
        <v>5.7</v>
      </c>
      <c r="AK81" s="323">
        <v>12.7</v>
      </c>
      <c r="AL81" s="323">
        <v>83</v>
      </c>
      <c r="AN81" s="323">
        <v>0.25440000000000002</v>
      </c>
      <c r="AO81" s="323">
        <v>0.224</v>
      </c>
      <c r="AP81" s="323">
        <v>0.17399999999999999</v>
      </c>
      <c r="AR81" s="323">
        <v>0.65600000000000003</v>
      </c>
      <c r="AS81" s="323">
        <v>0.84108499999999997</v>
      </c>
      <c r="AT81" s="323">
        <v>0.61018919999999999</v>
      </c>
      <c r="AV81" s="190">
        <v>1.233E+16</v>
      </c>
      <c r="AW81" s="190">
        <v>8.22E+16</v>
      </c>
      <c r="AX81" s="190">
        <v>9.03E+16</v>
      </c>
      <c r="AY81" s="203">
        <v>0.2</v>
      </c>
      <c r="BB81" s="204">
        <v>42502</v>
      </c>
      <c r="BC81" s="203" t="s">
        <v>3072</v>
      </c>
    </row>
    <row r="82" spans="1:55" x14ac:dyDescent="0.2">
      <c r="A82" s="184" t="s">
        <v>870</v>
      </c>
      <c r="B82" s="184" t="s">
        <v>870</v>
      </c>
      <c r="C82" s="184" t="s">
        <v>869</v>
      </c>
      <c r="D82" s="185" t="s">
        <v>812</v>
      </c>
      <c r="E82" s="184" t="s">
        <v>871</v>
      </c>
      <c r="F82" s="184" t="s">
        <v>871</v>
      </c>
      <c r="G82" s="186">
        <f>IF(ALECA_Input!$F$13="ICAO (3000ft)",'Aircraft Calc'!C$218,'Aircraft Calc'!G$218)</f>
        <v>0</v>
      </c>
      <c r="H82" s="186">
        <f>IF(ALECA_Input!$F$13="ICAO (3000ft)",'Aircraft Calc'!D$218,'Aircraft Calc'!H$218)</f>
        <v>3</v>
      </c>
      <c r="I82" s="186">
        <f>IF(ALECA_Input!$F$13="ICAO (3000ft)",'Aircraft Calc'!E$218,'Aircraft Calc'!I$218)</f>
        <v>5.5</v>
      </c>
      <c r="J82" s="186">
        <v>1</v>
      </c>
      <c r="K82" s="187">
        <f t="shared" si="1"/>
        <v>18.077999999999999</v>
      </c>
      <c r="L82" s="187">
        <f t="shared" si="2"/>
        <v>0.11464859999999999</v>
      </c>
      <c r="M82" s="187">
        <f t="shared" si="3"/>
        <v>0.11640054</v>
      </c>
      <c r="N82" s="187">
        <f t="shared" si="4"/>
        <v>0.14539379999999999</v>
      </c>
      <c r="O82" s="187">
        <f t="shared" si="5"/>
        <v>1.2621957794999999E-2</v>
      </c>
      <c r="P82" s="188">
        <f t="shared" si="6"/>
        <v>7.3846367999999987E+17</v>
      </c>
      <c r="Q82" s="187">
        <f t="shared" si="7"/>
        <v>1073.9999999999998</v>
      </c>
      <c r="R82" s="219">
        <f t="shared" si="8"/>
        <v>2.7923999999999998</v>
      </c>
      <c r="S82" s="219">
        <f t="shared" si="9"/>
        <v>34.539839999999991</v>
      </c>
      <c r="T82" s="219">
        <f t="shared" si="10"/>
        <v>44.893199999999993</v>
      </c>
      <c r="U82" s="219">
        <f t="shared" si="11"/>
        <v>0.46706885279999988</v>
      </c>
      <c r="V82" s="188">
        <f t="shared" si="12"/>
        <v>1.2028799999999998E+17</v>
      </c>
      <c r="X82" s="323">
        <v>4.36E-2</v>
      </c>
      <c r="Y82" s="323">
        <v>3.1E-2</v>
      </c>
      <c r="Z82" s="323">
        <v>1.7899999999999999E-2</v>
      </c>
      <c r="AB82" s="323">
        <v>7.7</v>
      </c>
      <c r="AC82" s="323">
        <v>5.3</v>
      </c>
      <c r="AD82" s="323">
        <v>2.6</v>
      </c>
      <c r="AF82" s="323">
        <v>4.13</v>
      </c>
      <c r="AG82" s="323">
        <v>8.2100000000000009</v>
      </c>
      <c r="AH82" s="323">
        <v>32.159999999999997</v>
      </c>
      <c r="AJ82" s="323">
        <v>5.0999999999999996</v>
      </c>
      <c r="AK82" s="323">
        <v>10.3</v>
      </c>
      <c r="AL82" s="323">
        <v>41.8</v>
      </c>
      <c r="AN82" s="323">
        <v>0.2676</v>
      </c>
      <c r="AO82" s="323">
        <v>0.2394</v>
      </c>
      <c r="AP82" s="323">
        <v>0.1875</v>
      </c>
      <c r="AR82" s="323">
        <v>0.63044</v>
      </c>
      <c r="AS82" s="323">
        <v>0.75017250000000002</v>
      </c>
      <c r="AT82" s="323">
        <v>0.43488719999999997</v>
      </c>
      <c r="AV82" s="190">
        <v>1.041E+16</v>
      </c>
      <c r="AW82" s="190">
        <v>6.42E+16</v>
      </c>
      <c r="AX82" s="190">
        <v>1.12E+17</v>
      </c>
      <c r="AY82" s="203">
        <v>0.2</v>
      </c>
      <c r="BB82" s="204">
        <v>42502</v>
      </c>
      <c r="BC82" s="203" t="s">
        <v>815</v>
      </c>
    </row>
    <row r="83" spans="1:55" x14ac:dyDescent="0.2">
      <c r="A83" s="184" t="s">
        <v>872</v>
      </c>
      <c r="B83" s="184" t="s">
        <v>872</v>
      </c>
      <c r="C83" s="184" t="s">
        <v>869</v>
      </c>
      <c r="D83" s="185" t="s">
        <v>812</v>
      </c>
      <c r="E83" s="184" t="s">
        <v>873</v>
      </c>
      <c r="F83" s="184" t="s">
        <v>873</v>
      </c>
      <c r="G83" s="186">
        <f>IF(ALECA_Input!$F$13="ICAO (3000ft)",'Aircraft Calc'!C$218,'Aircraft Calc'!G$218)</f>
        <v>0</v>
      </c>
      <c r="H83" s="186">
        <f>IF(ALECA_Input!$F$13="ICAO (3000ft)",'Aircraft Calc'!D$218,'Aircraft Calc'!H$218)</f>
        <v>3</v>
      </c>
      <c r="I83" s="186">
        <f>IF(ALECA_Input!$F$13="ICAO (3000ft)",'Aircraft Calc'!E$218,'Aircraft Calc'!I$218)</f>
        <v>5.5</v>
      </c>
      <c r="J83" s="186">
        <v>1</v>
      </c>
      <c r="K83" s="187">
        <f t="shared" si="1"/>
        <v>17.018999999999998</v>
      </c>
      <c r="L83" s="187">
        <f t="shared" si="2"/>
        <v>0.1011915</v>
      </c>
      <c r="M83" s="187">
        <f t="shared" si="3"/>
        <v>0.12728934</v>
      </c>
      <c r="N83" s="187">
        <f t="shared" si="4"/>
        <v>0.15890489999999999</v>
      </c>
      <c r="O83" s="187">
        <f t="shared" si="5"/>
        <v>1.2743661015000001E-2</v>
      </c>
      <c r="P83" s="188">
        <f t="shared" si="6"/>
        <v>8.9366436E+17</v>
      </c>
      <c r="Q83" s="187">
        <f t="shared" si="7"/>
        <v>809.99999999999989</v>
      </c>
      <c r="R83" s="219">
        <f t="shared" si="8"/>
        <v>1.5389999999999999</v>
      </c>
      <c r="S83" s="219">
        <f t="shared" si="9"/>
        <v>49.256099999999996</v>
      </c>
      <c r="T83" s="219">
        <f t="shared" si="10"/>
        <v>65.123999999999995</v>
      </c>
      <c r="U83" s="219">
        <f t="shared" si="11"/>
        <v>0.48450773699999999</v>
      </c>
      <c r="V83" s="188">
        <f t="shared" si="12"/>
        <v>7.3143E+16</v>
      </c>
      <c r="X83" s="323">
        <v>4.1200000000000001E-2</v>
      </c>
      <c r="Y83" s="323">
        <v>2.9100000000000001E-2</v>
      </c>
      <c r="Z83" s="323">
        <v>1.35E-2</v>
      </c>
      <c r="AB83" s="323">
        <v>7.3</v>
      </c>
      <c r="AC83" s="323">
        <v>4.9000000000000004</v>
      </c>
      <c r="AD83" s="323">
        <v>1.9</v>
      </c>
      <c r="AF83" s="323">
        <v>4.5</v>
      </c>
      <c r="AG83" s="323">
        <v>9.7799999999999994</v>
      </c>
      <c r="AH83" s="323">
        <v>60.81</v>
      </c>
      <c r="AJ83" s="323">
        <v>5.5</v>
      </c>
      <c r="AK83" s="323">
        <v>12.3</v>
      </c>
      <c r="AL83" s="323">
        <v>80.400000000000006</v>
      </c>
      <c r="AN83" s="323">
        <v>0.25800000000000001</v>
      </c>
      <c r="AO83" s="323">
        <v>0.2268</v>
      </c>
      <c r="AP83" s="323">
        <v>0.17399999999999999</v>
      </c>
      <c r="AR83" s="323">
        <v>0.64895999999999998</v>
      </c>
      <c r="AS83" s="323">
        <v>0.82588499999999998</v>
      </c>
      <c r="AT83" s="323">
        <v>0.59815770000000001</v>
      </c>
      <c r="AV83" s="190">
        <v>1.251E+16</v>
      </c>
      <c r="AW83" s="190">
        <v>8.34E+16</v>
      </c>
      <c r="AX83" s="190">
        <v>9.03E+16</v>
      </c>
      <c r="AY83" s="203">
        <v>0.2</v>
      </c>
      <c r="BB83" s="204">
        <v>42502</v>
      </c>
      <c r="BC83" s="203" t="s">
        <v>3072</v>
      </c>
    </row>
    <row r="84" spans="1:55" x14ac:dyDescent="0.2">
      <c r="A84" s="184" t="s">
        <v>874</v>
      </c>
      <c r="B84" s="184" t="s">
        <v>874</v>
      </c>
      <c r="C84" s="184" t="s">
        <v>869</v>
      </c>
      <c r="D84" s="185" t="s">
        <v>812</v>
      </c>
      <c r="E84" s="184" t="s">
        <v>875</v>
      </c>
      <c r="F84" s="184" t="s">
        <v>875</v>
      </c>
      <c r="G84" s="186">
        <f>IF(ALECA_Input!$F$13="ICAO (3000ft)",'Aircraft Calc'!C$218,'Aircraft Calc'!G$218)</f>
        <v>0</v>
      </c>
      <c r="H84" s="186">
        <f>IF(ALECA_Input!$F$13="ICAO (3000ft)",'Aircraft Calc'!D$218,'Aircraft Calc'!H$218)</f>
        <v>3</v>
      </c>
      <c r="I84" s="186">
        <f>IF(ALECA_Input!$F$13="ICAO (3000ft)",'Aircraft Calc'!E$218,'Aircraft Calc'!I$218)</f>
        <v>5.5</v>
      </c>
      <c r="J84" s="186">
        <v>1</v>
      </c>
      <c r="K84" s="187">
        <f t="shared" si="1"/>
        <v>17.541</v>
      </c>
      <c r="L84" s="187">
        <f t="shared" si="2"/>
        <v>0.10782900000000001</v>
      </c>
      <c r="M84" s="187">
        <f t="shared" si="3"/>
        <v>0.12263597999999999</v>
      </c>
      <c r="N84" s="187">
        <f t="shared" si="4"/>
        <v>0.1529595</v>
      </c>
      <c r="O84" s="187">
        <f t="shared" si="5"/>
        <v>1.2709562535E-2</v>
      </c>
      <c r="P84" s="188">
        <f t="shared" si="6"/>
        <v>9.339624E+17</v>
      </c>
      <c r="Q84" s="187">
        <f t="shared" si="7"/>
        <v>834</v>
      </c>
      <c r="R84" s="219">
        <f t="shared" si="8"/>
        <v>1.5845999999999998</v>
      </c>
      <c r="S84" s="219">
        <f t="shared" si="9"/>
        <v>47.588039999999999</v>
      </c>
      <c r="T84" s="219">
        <f t="shared" si="10"/>
        <v>62.800199999999997</v>
      </c>
      <c r="U84" s="219">
        <f t="shared" si="11"/>
        <v>0.4808178468</v>
      </c>
      <c r="V84" s="188">
        <f t="shared" si="12"/>
        <v>7.5894E+16</v>
      </c>
      <c r="X84" s="323">
        <v>4.2999999999999997E-2</v>
      </c>
      <c r="Y84" s="323">
        <v>2.9700000000000001E-2</v>
      </c>
      <c r="Z84" s="323">
        <v>1.3899999999999999E-2</v>
      </c>
      <c r="AB84" s="323">
        <v>7.6</v>
      </c>
      <c r="AC84" s="323">
        <v>5</v>
      </c>
      <c r="AD84" s="323">
        <v>1.9</v>
      </c>
      <c r="AF84" s="323">
        <v>4.22</v>
      </c>
      <c r="AG84" s="323">
        <v>9.18</v>
      </c>
      <c r="AH84" s="323">
        <v>57.06</v>
      </c>
      <c r="AJ84" s="323">
        <v>5.2</v>
      </c>
      <c r="AK84" s="323">
        <v>11.5</v>
      </c>
      <c r="AL84" s="323">
        <v>75.3</v>
      </c>
      <c r="AN84" s="323">
        <v>0.26400000000000001</v>
      </c>
      <c r="AO84" s="323">
        <v>0.23100000000000001</v>
      </c>
      <c r="AP84" s="323">
        <v>0.17549999999999999</v>
      </c>
      <c r="AR84" s="323">
        <v>0.63368000000000002</v>
      </c>
      <c r="AS84" s="323">
        <v>0.79633500000000002</v>
      </c>
      <c r="AT84" s="323">
        <v>0.57652020000000004</v>
      </c>
      <c r="AV84" s="190">
        <v>1.278E+16</v>
      </c>
      <c r="AW84" s="190">
        <v>8.52E+16</v>
      </c>
      <c r="AX84" s="190">
        <v>9.1E+16</v>
      </c>
      <c r="AY84" s="203">
        <v>0.2</v>
      </c>
      <c r="BB84" s="204">
        <v>42502</v>
      </c>
      <c r="BC84" s="203" t="s">
        <v>3072</v>
      </c>
    </row>
    <row r="85" spans="1:55" x14ac:dyDescent="0.2">
      <c r="A85" s="184" t="s">
        <v>876</v>
      </c>
      <c r="B85" s="184" t="s">
        <v>876</v>
      </c>
      <c r="C85" s="184" t="s">
        <v>869</v>
      </c>
      <c r="D85" s="185" t="s">
        <v>812</v>
      </c>
      <c r="E85" s="184" t="s">
        <v>877</v>
      </c>
      <c r="F85" s="184" t="s">
        <v>877</v>
      </c>
      <c r="G85" s="186">
        <f>IF(ALECA_Input!$F$13="ICAO (3000ft)",'Aircraft Calc'!C$218,'Aircraft Calc'!G$218)</f>
        <v>0</v>
      </c>
      <c r="H85" s="186">
        <f>IF(ALECA_Input!$F$13="ICAO (3000ft)",'Aircraft Calc'!D$218,'Aircraft Calc'!H$218)</f>
        <v>3</v>
      </c>
      <c r="I85" s="186">
        <f>IF(ALECA_Input!$F$13="ICAO (3000ft)",'Aircraft Calc'!E$218,'Aircraft Calc'!I$218)</f>
        <v>5.5</v>
      </c>
      <c r="J85" s="186">
        <v>1</v>
      </c>
      <c r="K85" s="187">
        <f t="shared" si="1"/>
        <v>18.408000000000001</v>
      </c>
      <c r="L85" s="187">
        <f t="shared" si="2"/>
        <v>0.11899680000000001</v>
      </c>
      <c r="M85" s="187">
        <f t="shared" si="3"/>
        <v>0.11671043999999998</v>
      </c>
      <c r="N85" s="187">
        <f t="shared" si="4"/>
        <v>0.14546879999999998</v>
      </c>
      <c r="O85" s="187">
        <f t="shared" si="5"/>
        <v>1.2777554280000001E-2</v>
      </c>
      <c r="P85" s="188">
        <f t="shared" si="6"/>
        <v>1.00017648E+18</v>
      </c>
      <c r="Q85" s="187">
        <f t="shared" si="7"/>
        <v>870</v>
      </c>
      <c r="R85" s="219">
        <f t="shared" si="8"/>
        <v>1.74</v>
      </c>
      <c r="S85" s="219">
        <f t="shared" si="9"/>
        <v>45.231300000000005</v>
      </c>
      <c r="T85" s="219">
        <f t="shared" si="10"/>
        <v>59.508000000000003</v>
      </c>
      <c r="U85" s="219">
        <f t="shared" si="11"/>
        <v>0.475662321</v>
      </c>
      <c r="V85" s="188">
        <f t="shared" si="12"/>
        <v>7.9779E+16</v>
      </c>
      <c r="X85" s="323">
        <v>4.58E-2</v>
      </c>
      <c r="Y85" s="323">
        <v>3.0800000000000001E-2</v>
      </c>
      <c r="Z85" s="323">
        <v>1.4500000000000001E-2</v>
      </c>
      <c r="AB85" s="323">
        <v>7.9</v>
      </c>
      <c r="AC85" s="323">
        <v>5.3</v>
      </c>
      <c r="AD85" s="323">
        <v>2</v>
      </c>
      <c r="AF85" s="323">
        <v>3.85</v>
      </c>
      <c r="AG85" s="323">
        <v>8.36</v>
      </c>
      <c r="AH85" s="323">
        <v>51.99</v>
      </c>
      <c r="AJ85" s="323">
        <v>4.7</v>
      </c>
      <c r="AK85" s="323">
        <v>10.5</v>
      </c>
      <c r="AL85" s="323">
        <v>68.400000000000006</v>
      </c>
      <c r="AN85" s="323">
        <v>0.27479999999999999</v>
      </c>
      <c r="AO85" s="323">
        <v>0.23799999999999999</v>
      </c>
      <c r="AP85" s="323">
        <v>0.17699999999999999</v>
      </c>
      <c r="AR85" s="323">
        <v>0.61636000000000002</v>
      </c>
      <c r="AS85" s="323">
        <v>0.75721000000000005</v>
      </c>
      <c r="AT85" s="323">
        <v>0.54673830000000001</v>
      </c>
      <c r="AV85" s="190">
        <v>1.332E+16</v>
      </c>
      <c r="AW85" s="190">
        <v>8.76E+16</v>
      </c>
      <c r="AX85" s="190">
        <v>9.17E+16</v>
      </c>
      <c r="AY85" s="203">
        <v>0.2</v>
      </c>
      <c r="BB85" s="204">
        <v>42502</v>
      </c>
      <c r="BC85" s="203" t="s">
        <v>3072</v>
      </c>
    </row>
    <row r="86" spans="1:55" s="231" customFormat="1" x14ac:dyDescent="0.2">
      <c r="A86" s="231" t="s">
        <v>878</v>
      </c>
      <c r="B86" s="231" t="s">
        <v>878</v>
      </c>
      <c r="C86" s="231" t="s">
        <v>869</v>
      </c>
      <c r="D86" s="232" t="s">
        <v>812</v>
      </c>
      <c r="E86" s="231" t="s">
        <v>879</v>
      </c>
      <c r="F86" s="231" t="s">
        <v>879</v>
      </c>
      <c r="G86" s="186">
        <f>IF(ALECA_Input!$F$13="ICAO (3000ft)",'Aircraft Calc'!C$218,'Aircraft Calc'!G$218)</f>
        <v>0</v>
      </c>
      <c r="H86" s="186">
        <f>IF(ALECA_Input!$F$13="ICAO (3000ft)",'Aircraft Calc'!D$218,'Aircraft Calc'!H$218)</f>
        <v>3</v>
      </c>
      <c r="I86" s="186">
        <f>IF(ALECA_Input!$F$13="ICAO (3000ft)",'Aircraft Calc'!E$218,'Aircraft Calc'!I$218)</f>
        <v>5.5</v>
      </c>
      <c r="J86" s="186">
        <v>5</v>
      </c>
      <c r="K86" s="219">
        <f t="shared" ref="K86:K150" si="13">(G86*W86*60+H86*X86*60+I86*Y86*60)</f>
        <v>19.466999999999999</v>
      </c>
      <c r="L86" s="324">
        <f t="shared" ref="L86:L150" si="14">(G86*W86*60*AA86+H86*X86*60*AB86+I86*Y86*60*AC86)/1000</f>
        <v>0.13351949999999999</v>
      </c>
      <c r="M86" s="219">
        <f t="shared" ref="M86:M150" si="15">(G86*W86*60*AE86+H86*X86*60*AF86+I86*Y86*60*AG86)/1000</f>
        <v>0.10789200000000002</v>
      </c>
      <c r="N86" s="219">
        <f t="shared" ref="N86:N150" si="16">(G86*W86*60*AI86+H86*X86*60*AJ86+I86*Y86*60*AK86)/1000</f>
        <v>0.13421430000000001</v>
      </c>
      <c r="O86" s="219">
        <f t="shared" ref="O86:O150" si="17">(G86*W86*60*AQ86+H86*X86*60*AR86+I86*Y86*60*AS86)/1000</f>
        <v>1.2822252299999998E-2</v>
      </c>
      <c r="P86" s="233">
        <f t="shared" ref="P86:P150" si="18">(G86*W86*60*AU86+H86*X86*60*AV86+I86*Y86*60*AW86)</f>
        <v>8.2767312E+17</v>
      </c>
      <c r="Q86" s="219">
        <f t="shared" ref="Q86:Q150" si="19">J86*Z86*60*1000</f>
        <v>5730</v>
      </c>
      <c r="R86" s="219">
        <f t="shared" ref="R86:R150" si="20">J86*Z86*60*AD86</f>
        <v>16.044</v>
      </c>
      <c r="S86" s="219">
        <f t="shared" ref="S86:S150" si="21">J86*Z86*60*AH86</f>
        <v>159.6378</v>
      </c>
      <c r="T86" s="219">
        <f t="shared" ref="T86:T150" si="22">J86*Z86*60*AL86</f>
        <v>206.28000000000003</v>
      </c>
      <c r="U86" s="219">
        <f t="shared" ref="U86:U150" si="23">J86*Z86*60*AT86</f>
        <v>2.3656660260000004</v>
      </c>
      <c r="V86" s="233">
        <f t="shared" ref="V86:V150" si="24">J86*Z86*60*AX86</f>
        <v>6.53793E+17</v>
      </c>
      <c r="W86" s="324"/>
      <c r="X86" s="324">
        <v>4.82E-2</v>
      </c>
      <c r="Y86" s="324">
        <v>3.27E-2</v>
      </c>
      <c r="Z86" s="324">
        <v>1.9099999999999999E-2</v>
      </c>
      <c r="AA86" s="324"/>
      <c r="AB86" s="324">
        <v>8.3000000000000007</v>
      </c>
      <c r="AC86" s="324">
        <v>5.7</v>
      </c>
      <c r="AD86" s="324">
        <v>2.8</v>
      </c>
      <c r="AE86" s="324"/>
      <c r="AF86" s="324">
        <v>3.58</v>
      </c>
      <c r="AG86" s="324">
        <v>7.12</v>
      </c>
      <c r="AH86" s="324">
        <v>27.86</v>
      </c>
      <c r="AI86" s="324"/>
      <c r="AJ86" s="324">
        <v>4.4000000000000004</v>
      </c>
      <c r="AK86" s="324">
        <v>8.9</v>
      </c>
      <c r="AL86" s="324">
        <v>36</v>
      </c>
      <c r="AM86" s="324"/>
      <c r="AN86" s="324">
        <v>0.28439999999999999</v>
      </c>
      <c r="AO86" s="324">
        <v>0.252</v>
      </c>
      <c r="AP86" s="324">
        <v>0.192</v>
      </c>
      <c r="AQ86" s="324"/>
      <c r="AR86" s="324">
        <v>0.60543999999999998</v>
      </c>
      <c r="AS86" s="324">
        <v>0.70145999999999997</v>
      </c>
      <c r="AT86" s="324">
        <v>0.41285620000000001</v>
      </c>
      <c r="AU86" s="319"/>
      <c r="AV86" s="319">
        <v>1.107E+16</v>
      </c>
      <c r="AW86" s="319">
        <v>6.78E+16</v>
      </c>
      <c r="AX86" s="319">
        <v>1.141E+17</v>
      </c>
      <c r="AY86" s="234">
        <v>0.2</v>
      </c>
      <c r="AZ86" s="240"/>
      <c r="BA86" s="234"/>
      <c r="BB86" s="235">
        <v>42502</v>
      </c>
      <c r="BC86" s="234" t="s">
        <v>815</v>
      </c>
    </row>
    <row r="87" spans="1:55" x14ac:dyDescent="0.2">
      <c r="A87" s="184" t="s">
        <v>880</v>
      </c>
      <c r="B87" s="184" t="s">
        <v>880</v>
      </c>
      <c r="C87" s="184" t="s">
        <v>869</v>
      </c>
      <c r="D87" s="185" t="s">
        <v>812</v>
      </c>
      <c r="E87" s="184" t="s">
        <v>879</v>
      </c>
      <c r="F87" s="184" t="s">
        <v>879</v>
      </c>
      <c r="G87" s="186">
        <f>IF(ALECA_Input!$F$13="ICAO (3000ft)",'Aircraft Calc'!C$218,'Aircraft Calc'!G$218)</f>
        <v>0</v>
      </c>
      <c r="H87" s="186">
        <f>IF(ALECA_Input!$F$13="ICAO (3000ft)",'Aircraft Calc'!D$218,'Aircraft Calc'!H$218)</f>
        <v>3</v>
      </c>
      <c r="I87" s="186">
        <f>IF(ALECA_Input!$F$13="ICAO (3000ft)",'Aircraft Calc'!E$218,'Aircraft Calc'!I$218)</f>
        <v>5.5</v>
      </c>
      <c r="J87" s="186">
        <v>1</v>
      </c>
      <c r="K87" s="187">
        <f t="shared" si="13"/>
        <v>17.696999999999999</v>
      </c>
      <c r="L87" s="187">
        <f t="shared" si="14"/>
        <v>0.10982969999999999</v>
      </c>
      <c r="M87" s="187">
        <f t="shared" si="15"/>
        <v>0.12139617</v>
      </c>
      <c r="N87" s="187">
        <f t="shared" si="16"/>
        <v>0.15143010000000001</v>
      </c>
      <c r="O87" s="187">
        <f t="shared" si="17"/>
        <v>1.2715748857499999E-2</v>
      </c>
      <c r="P87" s="188">
        <f t="shared" si="18"/>
        <v>9.4167539999999987E+17</v>
      </c>
      <c r="Q87" s="187">
        <f t="shared" si="19"/>
        <v>840</v>
      </c>
      <c r="R87" s="219">
        <f t="shared" si="20"/>
        <v>1.5959999999999999</v>
      </c>
      <c r="S87" s="219">
        <f t="shared" si="21"/>
        <v>47.065199999999997</v>
      </c>
      <c r="T87" s="219">
        <f t="shared" si="22"/>
        <v>62.076000000000001</v>
      </c>
      <c r="U87" s="219">
        <f t="shared" si="23"/>
        <v>0.47893868399999995</v>
      </c>
      <c r="V87" s="188">
        <f t="shared" si="24"/>
        <v>7.644E+16</v>
      </c>
      <c r="X87" s="323">
        <v>4.3499999999999997E-2</v>
      </c>
      <c r="Y87" s="323">
        <v>2.9899999999999999E-2</v>
      </c>
      <c r="Z87" s="323">
        <v>1.4E-2</v>
      </c>
      <c r="AB87" s="323">
        <v>7.6</v>
      </c>
      <c r="AC87" s="323">
        <v>5.0999999999999996</v>
      </c>
      <c r="AD87" s="323">
        <v>1.9</v>
      </c>
      <c r="AF87" s="323">
        <v>4.1500000000000004</v>
      </c>
      <c r="AG87" s="323">
        <v>9.01</v>
      </c>
      <c r="AH87" s="323">
        <v>56.03</v>
      </c>
      <c r="AJ87" s="323">
        <v>5.0999999999999996</v>
      </c>
      <c r="AK87" s="323">
        <v>11.3</v>
      </c>
      <c r="AL87" s="323">
        <v>73.900000000000006</v>
      </c>
      <c r="AN87" s="323">
        <v>0.26640000000000003</v>
      </c>
      <c r="AO87" s="323">
        <v>0.2324</v>
      </c>
      <c r="AP87" s="323">
        <v>0.17549999999999999</v>
      </c>
      <c r="AR87" s="323">
        <v>0.63075999999999999</v>
      </c>
      <c r="AS87" s="323">
        <v>0.78817250000000005</v>
      </c>
      <c r="AT87" s="323">
        <v>0.57016509999999998</v>
      </c>
      <c r="AV87" s="190">
        <v>1.29E+16</v>
      </c>
      <c r="AW87" s="190">
        <v>8.52E+16</v>
      </c>
      <c r="AX87" s="190">
        <v>9.1E+16</v>
      </c>
      <c r="AY87" s="203">
        <v>0.2</v>
      </c>
      <c r="BB87" s="204">
        <v>42502</v>
      </c>
      <c r="BC87" s="203" t="s">
        <v>3072</v>
      </c>
    </row>
    <row r="88" spans="1:55" x14ac:dyDescent="0.2">
      <c r="A88" s="184" t="s">
        <v>881</v>
      </c>
      <c r="B88" s="184" t="s">
        <v>881</v>
      </c>
      <c r="C88" s="184" t="s">
        <v>869</v>
      </c>
      <c r="D88" s="185" t="s">
        <v>812</v>
      </c>
      <c r="E88" s="184" t="s">
        <v>882</v>
      </c>
      <c r="F88" s="184" t="s">
        <v>883</v>
      </c>
      <c r="G88" s="186">
        <f>IF(ALECA_Input!$F$13="ICAO (3000ft)",'Aircraft Calc'!C$218,'Aircraft Calc'!G$218)</f>
        <v>0</v>
      </c>
      <c r="H88" s="186">
        <f>IF(ALECA_Input!$F$13="ICAO (3000ft)",'Aircraft Calc'!D$218,'Aircraft Calc'!H$218)</f>
        <v>3</v>
      </c>
      <c r="I88" s="186">
        <f>IF(ALECA_Input!$F$13="ICAO (3000ft)",'Aircraft Calc'!E$218,'Aircraft Calc'!I$218)</f>
        <v>5.5</v>
      </c>
      <c r="J88" s="186">
        <v>1</v>
      </c>
      <c r="K88" s="187">
        <f t="shared" si="13"/>
        <v>18.132000000000001</v>
      </c>
      <c r="L88" s="187">
        <f t="shared" si="14"/>
        <v>0.11534640000000002</v>
      </c>
      <c r="M88" s="187">
        <f t="shared" si="15"/>
        <v>0.11929644000000002</v>
      </c>
      <c r="N88" s="187">
        <f t="shared" si="16"/>
        <v>0.1490388</v>
      </c>
      <c r="O88" s="187">
        <f t="shared" si="17"/>
        <v>1.279271412E-2</v>
      </c>
      <c r="P88" s="188">
        <f t="shared" si="18"/>
        <v>9.731988E+17</v>
      </c>
      <c r="Q88" s="187">
        <f t="shared" si="19"/>
        <v>840</v>
      </c>
      <c r="R88" s="219">
        <f t="shared" si="20"/>
        <v>1.68</v>
      </c>
      <c r="S88" s="219">
        <f t="shared" si="21"/>
        <v>45.275999999999996</v>
      </c>
      <c r="T88" s="219">
        <f t="shared" si="22"/>
        <v>59.64</v>
      </c>
      <c r="U88" s="219">
        <f t="shared" si="23"/>
        <v>0.46915931999999999</v>
      </c>
      <c r="V88" s="188">
        <f t="shared" si="24"/>
        <v>7.7028E+16</v>
      </c>
      <c r="X88" s="323">
        <v>4.4999999999999998E-2</v>
      </c>
      <c r="Y88" s="323">
        <v>3.04E-2</v>
      </c>
      <c r="Z88" s="323">
        <v>1.4E-2</v>
      </c>
      <c r="AB88" s="323">
        <v>7.8</v>
      </c>
      <c r="AC88" s="323">
        <v>5.2</v>
      </c>
      <c r="AD88" s="323">
        <v>2</v>
      </c>
      <c r="AF88" s="323">
        <v>3.99</v>
      </c>
      <c r="AG88" s="323">
        <v>8.67</v>
      </c>
      <c r="AH88" s="323">
        <v>53.9</v>
      </c>
      <c r="AJ88" s="323">
        <v>4.9000000000000004</v>
      </c>
      <c r="AK88" s="323">
        <v>10.9</v>
      </c>
      <c r="AL88" s="323">
        <v>71</v>
      </c>
      <c r="AN88" s="323">
        <v>0.2712</v>
      </c>
      <c r="AO88" s="323">
        <v>0.23519999999999999</v>
      </c>
      <c r="AP88" s="323">
        <v>0.17699999999999999</v>
      </c>
      <c r="AR88" s="323">
        <v>0.62339999999999995</v>
      </c>
      <c r="AS88" s="323">
        <v>0.77184750000000002</v>
      </c>
      <c r="AT88" s="323">
        <v>0.55852299999999999</v>
      </c>
      <c r="AV88" s="190">
        <v>1.314E+16</v>
      </c>
      <c r="AW88" s="190">
        <v>8.64E+16</v>
      </c>
      <c r="AX88" s="190">
        <v>9.17E+16</v>
      </c>
      <c r="AY88" s="203">
        <v>0.2</v>
      </c>
      <c r="BB88" s="204">
        <v>42502</v>
      </c>
      <c r="BC88" s="203" t="s">
        <v>3072</v>
      </c>
    </row>
    <row r="89" spans="1:55" x14ac:dyDescent="0.2">
      <c r="A89" s="184" t="s">
        <v>884</v>
      </c>
      <c r="B89" s="184" t="s">
        <v>884</v>
      </c>
      <c r="C89" s="184" t="s">
        <v>869</v>
      </c>
      <c r="D89" s="185" t="s">
        <v>812</v>
      </c>
      <c r="E89" s="184" t="s">
        <v>885</v>
      </c>
      <c r="F89" s="184" t="s">
        <v>886</v>
      </c>
      <c r="G89" s="186">
        <f>IF(ALECA_Input!$F$13="ICAO (3000ft)",'Aircraft Calc'!C$218,'Aircraft Calc'!G$218)</f>
        <v>0</v>
      </c>
      <c r="H89" s="186">
        <f>IF(ALECA_Input!$F$13="ICAO (3000ft)",'Aircraft Calc'!D$218,'Aircraft Calc'!H$218)</f>
        <v>3</v>
      </c>
      <c r="I89" s="186">
        <f>IF(ALECA_Input!$F$13="ICAO (3000ft)",'Aircraft Calc'!E$218,'Aircraft Calc'!I$218)</f>
        <v>5.5</v>
      </c>
      <c r="J89" s="186">
        <v>1</v>
      </c>
      <c r="K89" s="187">
        <f t="shared" si="13"/>
        <v>16.439999999999998</v>
      </c>
      <c r="L89" s="187">
        <f t="shared" si="14"/>
        <v>9.4548000000000007E-2</v>
      </c>
      <c r="M89" s="187">
        <f t="shared" si="15"/>
        <v>0.13088159999999999</v>
      </c>
      <c r="N89" s="187">
        <f t="shared" si="16"/>
        <v>0.163524</v>
      </c>
      <c r="O89" s="187">
        <f t="shared" si="17"/>
        <v>1.2709292399999999E-2</v>
      </c>
      <c r="P89" s="188">
        <f t="shared" si="18"/>
        <v>1.048608E+18</v>
      </c>
      <c r="Q89" s="187">
        <f t="shared" si="19"/>
        <v>779.99999999999989</v>
      </c>
      <c r="R89" s="219">
        <f t="shared" si="20"/>
        <v>1.4039999999999999</v>
      </c>
      <c r="S89" s="219">
        <f t="shared" si="21"/>
        <v>49.654799999999994</v>
      </c>
      <c r="T89" s="219">
        <f t="shared" si="22"/>
        <v>65.676000000000002</v>
      </c>
      <c r="U89" s="219">
        <f t="shared" si="23"/>
        <v>0.48027891599999994</v>
      </c>
      <c r="V89" s="188">
        <f t="shared" si="24"/>
        <v>6.8249999999999992E+16</v>
      </c>
      <c r="X89" s="323">
        <v>0.04</v>
      </c>
      <c r="Y89" s="323">
        <v>2.8000000000000001E-2</v>
      </c>
      <c r="Z89" s="323">
        <v>1.2999999999999999E-2</v>
      </c>
      <c r="AB89" s="323">
        <v>7.1</v>
      </c>
      <c r="AC89" s="323">
        <v>4.7</v>
      </c>
      <c r="AD89" s="323">
        <v>1.8</v>
      </c>
      <c r="AF89" s="323">
        <v>4.78</v>
      </c>
      <c r="AG89" s="323">
        <v>10.44</v>
      </c>
      <c r="AH89" s="323">
        <v>63.66</v>
      </c>
      <c r="AJ89" s="323">
        <v>5.9</v>
      </c>
      <c r="AK89" s="323">
        <v>13.1</v>
      </c>
      <c r="AL89" s="323">
        <v>84.2</v>
      </c>
      <c r="AN89" s="323">
        <v>0.25080000000000002</v>
      </c>
      <c r="AO89" s="323">
        <v>0.22259999999999999</v>
      </c>
      <c r="AP89" s="323">
        <v>0.17399999999999999</v>
      </c>
      <c r="AR89" s="323">
        <v>0.66303999999999996</v>
      </c>
      <c r="AS89" s="323">
        <v>0.85880999999999996</v>
      </c>
      <c r="AT89" s="323">
        <v>0.61574220000000002</v>
      </c>
      <c r="AV89" s="190">
        <v>1.782E+16</v>
      </c>
      <c r="AW89" s="190">
        <v>9.96E+16</v>
      </c>
      <c r="AX89" s="190">
        <v>8.75E+16</v>
      </c>
      <c r="AY89" s="203">
        <v>0.2</v>
      </c>
      <c r="BB89" s="204">
        <v>42671</v>
      </c>
      <c r="BC89" s="203" t="s">
        <v>3074</v>
      </c>
    </row>
    <row r="90" spans="1:55" x14ac:dyDescent="0.2">
      <c r="A90" s="184" t="s">
        <v>887</v>
      </c>
      <c r="B90" s="184" t="s">
        <v>887</v>
      </c>
      <c r="C90" s="184" t="s">
        <v>869</v>
      </c>
      <c r="D90" s="185" t="s">
        <v>812</v>
      </c>
      <c r="E90" s="184" t="s">
        <v>888</v>
      </c>
      <c r="F90" s="184" t="s">
        <v>889</v>
      </c>
      <c r="G90" s="186">
        <f>IF(ALECA_Input!$F$13="ICAO (3000ft)",'Aircraft Calc'!C$218,'Aircraft Calc'!G$218)</f>
        <v>0</v>
      </c>
      <c r="H90" s="186">
        <f>IF(ALECA_Input!$F$13="ICAO (3000ft)",'Aircraft Calc'!D$218,'Aircraft Calc'!H$218)</f>
        <v>3</v>
      </c>
      <c r="I90" s="186">
        <f>IF(ALECA_Input!$F$13="ICAO (3000ft)",'Aircraft Calc'!E$218,'Aircraft Calc'!I$218)</f>
        <v>5.5</v>
      </c>
      <c r="J90" s="186">
        <v>1</v>
      </c>
      <c r="K90" s="187">
        <f t="shared" si="13"/>
        <v>21.306000000000001</v>
      </c>
      <c r="L90" s="187">
        <f t="shared" si="14"/>
        <v>0.16056900000000002</v>
      </c>
      <c r="M90" s="187">
        <f t="shared" si="15"/>
        <v>9.9864300000000017E-2</v>
      </c>
      <c r="N90" s="187">
        <f t="shared" si="16"/>
        <v>0.1227222</v>
      </c>
      <c r="O90" s="187">
        <f t="shared" si="17"/>
        <v>1.3310284485000001E-2</v>
      </c>
      <c r="P90" s="188">
        <f t="shared" si="18"/>
        <v>9.4750128E+17</v>
      </c>
      <c r="Q90" s="187">
        <f t="shared" si="19"/>
        <v>1230</v>
      </c>
      <c r="R90" s="219">
        <f t="shared" si="20"/>
        <v>3.8130000000000002</v>
      </c>
      <c r="S90" s="219">
        <f t="shared" si="21"/>
        <v>29.237099999999998</v>
      </c>
      <c r="T90" s="219">
        <f t="shared" si="22"/>
        <v>37.637999999999998</v>
      </c>
      <c r="U90" s="219">
        <f t="shared" si="23"/>
        <v>0.482308707</v>
      </c>
      <c r="V90" s="188">
        <f t="shared" si="24"/>
        <v>1.43787E+17</v>
      </c>
      <c r="X90" s="323">
        <v>5.4199999999999998E-2</v>
      </c>
      <c r="Y90" s="323">
        <v>3.5000000000000003E-2</v>
      </c>
      <c r="Z90" s="323">
        <v>2.0500000000000001E-2</v>
      </c>
      <c r="AB90" s="323">
        <v>9</v>
      </c>
      <c r="AC90" s="323">
        <v>6.3</v>
      </c>
      <c r="AD90" s="323">
        <v>3.1</v>
      </c>
      <c r="AF90" s="323">
        <v>3.05</v>
      </c>
      <c r="AG90" s="323">
        <v>6.07</v>
      </c>
      <c r="AH90" s="323">
        <v>23.77</v>
      </c>
      <c r="AJ90" s="323">
        <v>3.7</v>
      </c>
      <c r="AK90" s="323">
        <v>7.5</v>
      </c>
      <c r="AL90" s="323">
        <v>30.6</v>
      </c>
      <c r="AN90" s="323">
        <v>0.30480000000000002</v>
      </c>
      <c r="AO90" s="323">
        <v>0.26740000000000003</v>
      </c>
      <c r="AP90" s="323">
        <v>0.19650000000000001</v>
      </c>
      <c r="AR90" s="323">
        <v>0.58555999999999997</v>
      </c>
      <c r="AS90" s="323">
        <v>0.65779750000000003</v>
      </c>
      <c r="AT90" s="323">
        <v>0.39212089999999999</v>
      </c>
      <c r="AV90" s="190">
        <v>1.188E+16</v>
      </c>
      <c r="AW90" s="190">
        <v>7.2E+16</v>
      </c>
      <c r="AX90" s="190">
        <v>1.169E+17</v>
      </c>
      <c r="AY90" s="203">
        <v>0.2</v>
      </c>
      <c r="BB90" s="204">
        <v>42502</v>
      </c>
      <c r="BC90" s="203" t="s">
        <v>815</v>
      </c>
    </row>
    <row r="91" spans="1:55" x14ac:dyDescent="0.2">
      <c r="A91" s="184" t="s">
        <v>890</v>
      </c>
      <c r="B91" s="184" t="s">
        <v>890</v>
      </c>
      <c r="C91" s="184" t="s">
        <v>869</v>
      </c>
      <c r="D91" s="185" t="s">
        <v>812</v>
      </c>
      <c r="E91" s="184" t="s">
        <v>891</v>
      </c>
      <c r="F91" s="184" t="s">
        <v>892</v>
      </c>
      <c r="G91" s="186">
        <f>IF(ALECA_Input!$F$13="ICAO (3000ft)",'Aircraft Calc'!C$218,'Aircraft Calc'!G$218)</f>
        <v>0</v>
      </c>
      <c r="H91" s="186">
        <f>IF(ALECA_Input!$F$13="ICAO (3000ft)",'Aircraft Calc'!D$218,'Aircraft Calc'!H$218)</f>
        <v>3</v>
      </c>
      <c r="I91" s="186">
        <f>IF(ALECA_Input!$F$13="ICAO (3000ft)",'Aircraft Calc'!E$218,'Aircraft Calc'!I$218)</f>
        <v>5.5</v>
      </c>
      <c r="J91" s="186">
        <v>1</v>
      </c>
      <c r="K91" s="187">
        <f t="shared" si="13"/>
        <v>19.415999999999997</v>
      </c>
      <c r="L91" s="187">
        <f t="shared" si="14"/>
        <v>0.13352639999999999</v>
      </c>
      <c r="M91" s="187">
        <f t="shared" si="15"/>
        <v>0.11045832</v>
      </c>
      <c r="N91" s="187">
        <f t="shared" si="16"/>
        <v>0.1364592</v>
      </c>
      <c r="O91" s="187">
        <f t="shared" si="17"/>
        <v>1.2923323679999999E-2</v>
      </c>
      <c r="P91" s="188">
        <f t="shared" si="18"/>
        <v>1.0802771999999999E+18</v>
      </c>
      <c r="Q91" s="187">
        <f t="shared" si="19"/>
        <v>906</v>
      </c>
      <c r="R91" s="219">
        <f t="shared" si="20"/>
        <v>1.9026000000000001</v>
      </c>
      <c r="S91" s="219">
        <f t="shared" si="21"/>
        <v>42.509520000000002</v>
      </c>
      <c r="T91" s="219">
        <f t="shared" si="22"/>
        <v>55.809600000000003</v>
      </c>
      <c r="U91" s="219">
        <f t="shared" si="23"/>
        <v>0.46836249839999999</v>
      </c>
      <c r="V91" s="188">
        <f t="shared" si="24"/>
        <v>8.37144E+16</v>
      </c>
      <c r="X91" s="323">
        <v>4.9200000000000001E-2</v>
      </c>
      <c r="Y91" s="323">
        <v>3.2000000000000001E-2</v>
      </c>
      <c r="Z91" s="323">
        <v>1.5100000000000001E-2</v>
      </c>
      <c r="AB91" s="323">
        <v>8.4</v>
      </c>
      <c r="AC91" s="323">
        <v>5.6</v>
      </c>
      <c r="AD91" s="323">
        <v>2.1</v>
      </c>
      <c r="AF91" s="323">
        <v>3.47</v>
      </c>
      <c r="AG91" s="323">
        <v>7.55</v>
      </c>
      <c r="AH91" s="323">
        <v>46.92</v>
      </c>
      <c r="AJ91" s="323">
        <v>4.2</v>
      </c>
      <c r="AK91" s="323">
        <v>9.4</v>
      </c>
      <c r="AL91" s="323">
        <v>61.6</v>
      </c>
      <c r="AN91" s="323">
        <v>0.28799999999999998</v>
      </c>
      <c r="AO91" s="323">
        <v>0.24640000000000001</v>
      </c>
      <c r="AP91" s="323">
        <v>0.17849999999999999</v>
      </c>
      <c r="AR91" s="323">
        <v>0.60067999999999999</v>
      </c>
      <c r="AS91" s="323">
        <v>0.72004749999999995</v>
      </c>
      <c r="AT91" s="323">
        <v>0.51695639999999998</v>
      </c>
      <c r="AV91" s="190">
        <v>1.395E+16</v>
      </c>
      <c r="AW91" s="190">
        <v>9.06E+16</v>
      </c>
      <c r="AX91" s="190">
        <v>9.24E+16</v>
      </c>
      <c r="AY91" s="203">
        <v>0.2</v>
      </c>
      <c r="BB91" s="204">
        <v>42502</v>
      </c>
      <c r="BC91" s="203" t="s">
        <v>3072</v>
      </c>
    </row>
    <row r="92" spans="1:55" x14ac:dyDescent="0.2">
      <c r="A92" s="184" t="s">
        <v>893</v>
      </c>
      <c r="B92" s="184" t="s">
        <v>893</v>
      </c>
      <c r="C92" s="184" t="s">
        <v>869</v>
      </c>
      <c r="D92" s="185" t="s">
        <v>812</v>
      </c>
      <c r="E92" s="184" t="s">
        <v>894</v>
      </c>
      <c r="F92" s="184" t="s">
        <v>894</v>
      </c>
      <c r="G92" s="186">
        <f>IF(ALECA_Input!$F$13="ICAO (3000ft)",'Aircraft Calc'!C$218,'Aircraft Calc'!G$218)</f>
        <v>0</v>
      </c>
      <c r="H92" s="186">
        <f>IF(ALECA_Input!$F$13="ICAO (3000ft)",'Aircraft Calc'!D$218,'Aircraft Calc'!H$218)</f>
        <v>3</v>
      </c>
      <c r="I92" s="186">
        <f>IF(ALECA_Input!$F$13="ICAO (3000ft)",'Aircraft Calc'!E$218,'Aircraft Calc'!I$218)</f>
        <v>5.5</v>
      </c>
      <c r="J92" s="186">
        <v>1</v>
      </c>
      <c r="K92" s="187">
        <f t="shared" si="13"/>
        <v>20.94</v>
      </c>
      <c r="L92" s="187">
        <f t="shared" si="14"/>
        <v>0.15480000000000002</v>
      </c>
      <c r="M92" s="187">
        <f t="shared" si="15"/>
        <v>0.10435620000000001</v>
      </c>
      <c r="N92" s="187">
        <f t="shared" si="16"/>
        <v>0.12909000000000004</v>
      </c>
      <c r="O92" s="187">
        <f t="shared" si="17"/>
        <v>1.333561485E-2</v>
      </c>
      <c r="P92" s="188">
        <f t="shared" si="18"/>
        <v>1.2071232E+18</v>
      </c>
      <c r="Q92" s="187">
        <f t="shared" si="19"/>
        <v>960</v>
      </c>
      <c r="R92" s="219">
        <f t="shared" si="20"/>
        <v>2.2079999999999997</v>
      </c>
      <c r="S92" s="219">
        <f t="shared" si="21"/>
        <v>39.657600000000002</v>
      </c>
      <c r="T92" s="219">
        <f t="shared" si="22"/>
        <v>51.839999999999996</v>
      </c>
      <c r="U92" s="219">
        <f t="shared" si="23"/>
        <v>0.46592899199999999</v>
      </c>
      <c r="V92" s="188">
        <f t="shared" si="24"/>
        <v>9.0048E+16</v>
      </c>
      <c r="X92" s="323">
        <v>5.3999999999999999E-2</v>
      </c>
      <c r="Y92" s="323">
        <v>3.4000000000000002E-2</v>
      </c>
      <c r="Z92" s="323">
        <v>1.6E-2</v>
      </c>
      <c r="AB92" s="323">
        <v>9</v>
      </c>
      <c r="AC92" s="323">
        <v>6</v>
      </c>
      <c r="AD92" s="323">
        <v>2.2999999999999998</v>
      </c>
      <c r="AF92" s="323">
        <v>3.06</v>
      </c>
      <c r="AG92" s="323">
        <v>6.65</v>
      </c>
      <c r="AH92" s="323">
        <v>41.31</v>
      </c>
      <c r="AJ92" s="323">
        <v>3.7</v>
      </c>
      <c r="AK92" s="323">
        <v>8.3000000000000007</v>
      </c>
      <c r="AL92" s="323">
        <v>54</v>
      </c>
      <c r="AN92" s="323">
        <v>0.30480000000000002</v>
      </c>
      <c r="AO92" s="323">
        <v>0.2576</v>
      </c>
      <c r="AP92" s="323">
        <v>0.18149999999999999</v>
      </c>
      <c r="AR92" s="323">
        <v>0.58631999999999995</v>
      </c>
      <c r="AS92" s="323">
        <v>0.68062250000000002</v>
      </c>
      <c r="AT92" s="323">
        <v>0.48534270000000002</v>
      </c>
      <c r="AV92" s="190">
        <v>1.476E+16</v>
      </c>
      <c r="AW92" s="190">
        <v>9.48E+16</v>
      </c>
      <c r="AX92" s="190">
        <v>9.38E+16</v>
      </c>
      <c r="AY92" s="203">
        <v>0.2</v>
      </c>
      <c r="BB92" s="204">
        <v>42502</v>
      </c>
      <c r="BC92" s="203" t="s">
        <v>3072</v>
      </c>
    </row>
    <row r="93" spans="1:55" x14ac:dyDescent="0.2">
      <c r="A93" s="184" t="s">
        <v>895</v>
      </c>
      <c r="B93" s="184" t="s">
        <v>895</v>
      </c>
      <c r="C93" s="184" t="s">
        <v>869</v>
      </c>
      <c r="D93" s="185" t="s">
        <v>812</v>
      </c>
      <c r="E93" s="184" t="s">
        <v>896</v>
      </c>
      <c r="F93" s="184" t="s">
        <v>896</v>
      </c>
      <c r="G93" s="186">
        <f>IF(ALECA_Input!$F$13="ICAO (3000ft)",'Aircraft Calc'!C$218,'Aircraft Calc'!G$218)</f>
        <v>0</v>
      </c>
      <c r="H93" s="186">
        <f>IF(ALECA_Input!$F$13="ICAO (3000ft)",'Aircraft Calc'!D$218,'Aircraft Calc'!H$218)</f>
        <v>3</v>
      </c>
      <c r="I93" s="186">
        <f>IF(ALECA_Input!$F$13="ICAO (3000ft)",'Aircraft Calc'!E$218,'Aircraft Calc'!I$218)</f>
        <v>5.5</v>
      </c>
      <c r="J93" s="186">
        <v>1</v>
      </c>
      <c r="K93" s="187">
        <f t="shared" si="13"/>
        <v>23.000999999999998</v>
      </c>
      <c r="L93" s="187">
        <f t="shared" si="14"/>
        <v>0.18511349999999999</v>
      </c>
      <c r="M93" s="187">
        <f t="shared" si="15"/>
        <v>9.4737719999999997E-2</v>
      </c>
      <c r="N93" s="187">
        <f t="shared" si="16"/>
        <v>0.116523</v>
      </c>
      <c r="O93" s="187">
        <f t="shared" si="17"/>
        <v>1.3921062540000001E-2</v>
      </c>
      <c r="P93" s="188">
        <f t="shared" si="18"/>
        <v>1.05757344E+18</v>
      </c>
      <c r="Q93" s="187">
        <f t="shared" si="19"/>
        <v>1296</v>
      </c>
      <c r="R93" s="219">
        <f t="shared" si="20"/>
        <v>4.2767999999999997</v>
      </c>
      <c r="S93" s="219">
        <f t="shared" si="21"/>
        <v>27.190080000000002</v>
      </c>
      <c r="T93" s="219">
        <f t="shared" si="22"/>
        <v>34.862400000000001</v>
      </c>
      <c r="U93" s="219">
        <f t="shared" si="23"/>
        <v>0.4917109536</v>
      </c>
      <c r="V93" s="188">
        <f t="shared" si="24"/>
        <v>1.551312E+17</v>
      </c>
      <c r="X93" s="323">
        <v>5.9400000000000001E-2</v>
      </c>
      <c r="Y93" s="323">
        <v>3.73E-2</v>
      </c>
      <c r="Z93" s="323">
        <v>2.1600000000000001E-2</v>
      </c>
      <c r="AB93" s="323">
        <v>9.6</v>
      </c>
      <c r="AC93" s="323">
        <v>6.7</v>
      </c>
      <c r="AD93" s="323">
        <v>3.3</v>
      </c>
      <c r="AF93" s="323">
        <v>2.69</v>
      </c>
      <c r="AG93" s="323">
        <v>5.36</v>
      </c>
      <c r="AH93" s="323">
        <v>20.98</v>
      </c>
      <c r="AJ93" s="323">
        <v>3.3</v>
      </c>
      <c r="AK93" s="323">
        <v>6.6</v>
      </c>
      <c r="AL93" s="323">
        <v>26.9</v>
      </c>
      <c r="AN93" s="323">
        <v>0.32279999999999998</v>
      </c>
      <c r="AO93" s="323">
        <v>0.28000000000000003</v>
      </c>
      <c r="AP93" s="323">
        <v>0.20100000000000001</v>
      </c>
      <c r="AR93" s="323">
        <v>0.57620000000000005</v>
      </c>
      <c r="AS93" s="323">
        <v>0.63046000000000002</v>
      </c>
      <c r="AT93" s="323">
        <v>0.37940659999999998</v>
      </c>
      <c r="AV93" s="190">
        <v>1.257E+16</v>
      </c>
      <c r="AW93" s="190">
        <v>7.5E+16</v>
      </c>
      <c r="AX93" s="190">
        <v>1.197E+17</v>
      </c>
      <c r="AY93" s="203">
        <v>0.2</v>
      </c>
      <c r="BB93" s="204">
        <v>42502</v>
      </c>
      <c r="BC93" s="203" t="s">
        <v>815</v>
      </c>
    </row>
    <row r="94" spans="1:55" x14ac:dyDescent="0.2">
      <c r="A94" s="184" t="s">
        <v>897</v>
      </c>
      <c r="B94" s="184" t="s">
        <v>897</v>
      </c>
      <c r="C94" s="184" t="s">
        <v>869</v>
      </c>
      <c r="D94" s="185" t="s">
        <v>812</v>
      </c>
      <c r="E94" s="184" t="s">
        <v>898</v>
      </c>
      <c r="F94" s="184" t="s">
        <v>898</v>
      </c>
      <c r="G94" s="186">
        <f>IF(ALECA_Input!$F$13="ICAO (3000ft)",'Aircraft Calc'!C$218,'Aircraft Calc'!G$218)</f>
        <v>0</v>
      </c>
      <c r="H94" s="186">
        <f>IF(ALECA_Input!$F$13="ICAO (3000ft)",'Aircraft Calc'!D$218,'Aircraft Calc'!H$218)</f>
        <v>3</v>
      </c>
      <c r="I94" s="186">
        <f>IF(ALECA_Input!$F$13="ICAO (3000ft)",'Aircraft Calc'!E$218,'Aircraft Calc'!I$218)</f>
        <v>5.5</v>
      </c>
      <c r="J94" s="186">
        <v>1</v>
      </c>
      <c r="K94" s="187">
        <f t="shared" si="13"/>
        <v>19.626000000000005</v>
      </c>
      <c r="L94" s="187">
        <f t="shared" si="14"/>
        <v>0.1360056</v>
      </c>
      <c r="M94" s="187">
        <f t="shared" si="15"/>
        <v>0.10912614000000002</v>
      </c>
      <c r="N94" s="187">
        <f t="shared" si="16"/>
        <v>0.13465920000000001</v>
      </c>
      <c r="O94" s="187">
        <f t="shared" si="17"/>
        <v>1.2950307135000002E-2</v>
      </c>
      <c r="P94" s="188">
        <f t="shared" si="18"/>
        <v>1.0957212000000001E+18</v>
      </c>
      <c r="Q94" s="187">
        <f t="shared" si="19"/>
        <v>917.99999999999989</v>
      </c>
      <c r="R94" s="219">
        <f t="shared" si="20"/>
        <v>2.0196000000000001</v>
      </c>
      <c r="S94" s="219">
        <f t="shared" si="21"/>
        <v>42.154559999999996</v>
      </c>
      <c r="T94" s="219">
        <f t="shared" si="22"/>
        <v>55.263599999999997</v>
      </c>
      <c r="U94" s="219">
        <f t="shared" si="23"/>
        <v>0.47027891519999998</v>
      </c>
      <c r="V94" s="188">
        <f t="shared" si="24"/>
        <v>8.54658E+16</v>
      </c>
      <c r="X94" s="323">
        <v>0.05</v>
      </c>
      <c r="Y94" s="323">
        <v>3.2199999999999999E-2</v>
      </c>
      <c r="Z94" s="323">
        <v>1.5299999999999999E-2</v>
      </c>
      <c r="AB94" s="323">
        <v>8.5</v>
      </c>
      <c r="AC94" s="323">
        <v>5.6</v>
      </c>
      <c r="AD94" s="323">
        <v>2.2000000000000002</v>
      </c>
      <c r="AF94" s="323">
        <v>3.4</v>
      </c>
      <c r="AG94" s="323">
        <v>7.39</v>
      </c>
      <c r="AH94" s="323">
        <v>45.92</v>
      </c>
      <c r="AJ94" s="323">
        <v>4.0999999999999996</v>
      </c>
      <c r="AK94" s="323">
        <v>9.1999999999999993</v>
      </c>
      <c r="AL94" s="323">
        <v>60.2</v>
      </c>
      <c r="AN94" s="323">
        <v>0.29039999999999999</v>
      </c>
      <c r="AO94" s="323">
        <v>0.24779999999999999</v>
      </c>
      <c r="AP94" s="323">
        <v>0.18</v>
      </c>
      <c r="AR94" s="323">
        <v>0.59775999999999996</v>
      </c>
      <c r="AS94" s="323">
        <v>0.71244750000000001</v>
      </c>
      <c r="AT94" s="323">
        <v>0.51228640000000003</v>
      </c>
      <c r="AV94" s="190">
        <v>1.407E+16</v>
      </c>
      <c r="AW94" s="190">
        <v>9.12E+16</v>
      </c>
      <c r="AX94" s="190">
        <v>9.31E+16</v>
      </c>
      <c r="AY94" s="203">
        <v>0.2</v>
      </c>
      <c r="BB94" s="204">
        <v>42502</v>
      </c>
      <c r="BC94" s="203" t="s">
        <v>3072</v>
      </c>
    </row>
    <row r="95" spans="1:55" x14ac:dyDescent="0.2">
      <c r="A95" s="184" t="s">
        <v>899</v>
      </c>
      <c r="B95" s="184" t="s">
        <v>899</v>
      </c>
      <c r="C95" s="184" t="s">
        <v>869</v>
      </c>
      <c r="D95" s="185" t="s">
        <v>812</v>
      </c>
      <c r="E95" s="184" t="s">
        <v>900</v>
      </c>
      <c r="F95" s="184" t="s">
        <v>900</v>
      </c>
      <c r="G95" s="186">
        <f>IF(ALECA_Input!$F$13="ICAO (3000ft)",'Aircraft Calc'!C$218,'Aircraft Calc'!G$218)</f>
        <v>0</v>
      </c>
      <c r="H95" s="186">
        <f>IF(ALECA_Input!$F$13="ICAO (3000ft)",'Aircraft Calc'!D$218,'Aircraft Calc'!H$218)</f>
        <v>3</v>
      </c>
      <c r="I95" s="186">
        <f>IF(ALECA_Input!$F$13="ICAO (3000ft)",'Aircraft Calc'!E$218,'Aircraft Calc'!I$218)</f>
        <v>5.5</v>
      </c>
      <c r="J95" s="186">
        <v>1</v>
      </c>
      <c r="K95" s="187">
        <f t="shared" si="13"/>
        <v>20.198999999999998</v>
      </c>
      <c r="L95" s="187">
        <f t="shared" si="14"/>
        <v>0.14424600000000001</v>
      </c>
      <c r="M95" s="187">
        <f t="shared" si="15"/>
        <v>0.10639079999999999</v>
      </c>
      <c r="N95" s="187">
        <f t="shared" si="16"/>
        <v>0.13088969999999997</v>
      </c>
      <c r="O95" s="187">
        <f t="shared" si="17"/>
        <v>1.3100718075E-2</v>
      </c>
      <c r="P95" s="188">
        <f t="shared" si="18"/>
        <v>1.14450606E+18</v>
      </c>
      <c r="Q95" s="187">
        <f t="shared" si="19"/>
        <v>936</v>
      </c>
      <c r="R95" s="219">
        <f t="shared" si="20"/>
        <v>2.0592000000000001</v>
      </c>
      <c r="S95" s="219">
        <f t="shared" si="21"/>
        <v>40.865759999999995</v>
      </c>
      <c r="T95" s="219">
        <f t="shared" si="22"/>
        <v>53.539200000000001</v>
      </c>
      <c r="U95" s="219">
        <f t="shared" si="23"/>
        <v>0.46644829919999997</v>
      </c>
      <c r="V95" s="188">
        <f t="shared" si="24"/>
        <v>8.71416E+16</v>
      </c>
      <c r="X95" s="323">
        <v>5.1900000000000002E-2</v>
      </c>
      <c r="Y95" s="323">
        <v>3.2899999999999999E-2</v>
      </c>
      <c r="Z95" s="323">
        <v>1.5599999999999999E-2</v>
      </c>
      <c r="AB95" s="323">
        <v>8.6999999999999993</v>
      </c>
      <c r="AC95" s="323">
        <v>5.8</v>
      </c>
      <c r="AD95" s="323">
        <v>2.2000000000000002</v>
      </c>
      <c r="AF95" s="323">
        <v>3.23</v>
      </c>
      <c r="AG95" s="323">
        <v>7.02</v>
      </c>
      <c r="AH95" s="323">
        <v>43.66</v>
      </c>
      <c r="AJ95" s="323">
        <v>3.9</v>
      </c>
      <c r="AK95" s="323">
        <v>8.6999999999999993</v>
      </c>
      <c r="AL95" s="323">
        <v>57.2</v>
      </c>
      <c r="AN95" s="323">
        <v>0.29759999999999998</v>
      </c>
      <c r="AO95" s="323">
        <v>0.25340000000000001</v>
      </c>
      <c r="AP95" s="323">
        <v>0.18</v>
      </c>
      <c r="AR95" s="323">
        <v>0.59204000000000001</v>
      </c>
      <c r="AS95" s="323">
        <v>0.69723500000000005</v>
      </c>
      <c r="AT95" s="323">
        <v>0.49834220000000001</v>
      </c>
      <c r="AV95" s="190">
        <v>1.443E+16</v>
      </c>
      <c r="AW95" s="190">
        <v>9.3E+16</v>
      </c>
      <c r="AX95" s="190">
        <v>9.31E+16</v>
      </c>
      <c r="AY95" s="203">
        <v>0.2</v>
      </c>
      <c r="BB95" s="204">
        <v>42502</v>
      </c>
      <c r="BC95" s="203" t="s">
        <v>3072</v>
      </c>
    </row>
    <row r="96" spans="1:55" x14ac:dyDescent="0.2">
      <c r="A96" s="184" t="s">
        <v>901</v>
      </c>
      <c r="B96" s="184" t="s">
        <v>901</v>
      </c>
      <c r="C96" s="184" t="s">
        <v>869</v>
      </c>
      <c r="D96" s="185" t="s">
        <v>812</v>
      </c>
      <c r="E96" s="184" t="s">
        <v>902</v>
      </c>
      <c r="F96" s="184" t="s">
        <v>903</v>
      </c>
      <c r="G96" s="186">
        <f>IF(ALECA_Input!$F$13="ICAO (3000ft)",'Aircraft Calc'!C$218,'Aircraft Calc'!G$218)</f>
        <v>0</v>
      </c>
      <c r="H96" s="186">
        <f>IF(ALECA_Input!$F$13="ICAO (3000ft)",'Aircraft Calc'!D$218,'Aircraft Calc'!H$218)</f>
        <v>3</v>
      </c>
      <c r="I96" s="186">
        <f>IF(ALECA_Input!$F$13="ICAO (3000ft)",'Aircraft Calc'!E$218,'Aircraft Calc'!I$218)</f>
        <v>5.5</v>
      </c>
      <c r="J96" s="186">
        <v>1</v>
      </c>
      <c r="K96" s="187">
        <f t="shared" si="13"/>
        <v>14.061</v>
      </c>
      <c r="L96" s="187">
        <f t="shared" si="14"/>
        <v>6.9602099999999986E-2</v>
      </c>
      <c r="M96" s="187">
        <f t="shared" si="15"/>
        <v>0.1495206</v>
      </c>
      <c r="N96" s="187">
        <f t="shared" si="16"/>
        <v>0.1886979</v>
      </c>
      <c r="O96" s="187">
        <f t="shared" si="17"/>
        <v>1.2853332810000001E-2</v>
      </c>
      <c r="P96" s="188">
        <f t="shared" si="18"/>
        <v>6.7612536000000013E+17</v>
      </c>
      <c r="Q96" s="187">
        <f t="shared" si="19"/>
        <v>684</v>
      </c>
      <c r="R96" s="219">
        <f t="shared" si="20"/>
        <v>1.0944</v>
      </c>
      <c r="S96" s="219">
        <f t="shared" si="21"/>
        <v>58.666679999999999</v>
      </c>
      <c r="T96" s="219">
        <f t="shared" si="22"/>
        <v>78.249600000000015</v>
      </c>
      <c r="U96" s="219">
        <f t="shared" si="23"/>
        <v>0.51140005560000001</v>
      </c>
      <c r="V96" s="188">
        <f t="shared" si="24"/>
        <v>6.0328800000000008E+16</v>
      </c>
      <c r="X96" s="323">
        <v>3.32E-2</v>
      </c>
      <c r="Y96" s="323">
        <v>2.4500000000000001E-2</v>
      </c>
      <c r="Z96" s="323">
        <v>1.14E-2</v>
      </c>
      <c r="AB96" s="323">
        <v>6.1</v>
      </c>
      <c r="AC96" s="323">
        <v>4.0999999999999996</v>
      </c>
      <c r="AD96" s="323">
        <v>1.6</v>
      </c>
      <c r="AF96" s="323">
        <v>6.35</v>
      </c>
      <c r="AG96" s="323">
        <v>13.8</v>
      </c>
      <c r="AH96" s="323">
        <v>85.77</v>
      </c>
      <c r="AJ96" s="323">
        <v>7.9</v>
      </c>
      <c r="AK96" s="323">
        <v>17.5</v>
      </c>
      <c r="AL96" s="323">
        <v>114.4</v>
      </c>
      <c r="AN96" s="323">
        <v>0.22439999999999999</v>
      </c>
      <c r="AO96" s="323">
        <v>0.20580000000000001</v>
      </c>
      <c r="AP96" s="323">
        <v>0.16950000000000001</v>
      </c>
      <c r="AR96" s="323">
        <v>0.75595999999999997</v>
      </c>
      <c r="AS96" s="323">
        <v>1.03101</v>
      </c>
      <c r="AT96" s="323">
        <v>0.74766089999999996</v>
      </c>
      <c r="AV96" s="190">
        <v>1.086E+16</v>
      </c>
      <c r="AW96" s="190">
        <v>7.56E+16</v>
      </c>
      <c r="AX96" s="190">
        <v>8.82E+16</v>
      </c>
      <c r="AY96" s="203">
        <v>0.2</v>
      </c>
      <c r="BB96" s="204">
        <v>42502</v>
      </c>
      <c r="BC96" s="203" t="s">
        <v>3072</v>
      </c>
    </row>
    <row r="97" spans="1:55" x14ac:dyDescent="0.2">
      <c r="A97" s="184" t="s">
        <v>904</v>
      </c>
      <c r="B97" s="184" t="s">
        <v>904</v>
      </c>
      <c r="C97" s="184" t="s">
        <v>869</v>
      </c>
      <c r="D97" s="185" t="s">
        <v>812</v>
      </c>
      <c r="E97" s="184" t="s">
        <v>905</v>
      </c>
      <c r="F97" s="184" t="s">
        <v>906</v>
      </c>
      <c r="G97" s="186">
        <f>IF(ALECA_Input!$F$13="ICAO (3000ft)",'Aircraft Calc'!C$218,'Aircraft Calc'!G$218)</f>
        <v>0</v>
      </c>
      <c r="H97" s="186">
        <f>IF(ALECA_Input!$F$13="ICAO (3000ft)",'Aircraft Calc'!D$218,'Aircraft Calc'!H$218)</f>
        <v>3</v>
      </c>
      <c r="I97" s="186">
        <f>IF(ALECA_Input!$F$13="ICAO (3000ft)",'Aircraft Calc'!E$218,'Aircraft Calc'!I$218)</f>
        <v>5.5</v>
      </c>
      <c r="J97" s="186">
        <v>1</v>
      </c>
      <c r="K97" s="187">
        <f t="shared" si="13"/>
        <v>16.637999999999998</v>
      </c>
      <c r="L97" s="187">
        <f t="shared" si="14"/>
        <v>9.6422399999999978E-2</v>
      </c>
      <c r="M97" s="187">
        <f t="shared" si="15"/>
        <v>0.13046273999999999</v>
      </c>
      <c r="N97" s="187">
        <f t="shared" si="16"/>
        <v>0.16351019999999999</v>
      </c>
      <c r="O97" s="187">
        <f t="shared" si="17"/>
        <v>1.2760039604999999E-2</v>
      </c>
      <c r="P97" s="188">
        <f t="shared" si="18"/>
        <v>8.6414759999999987E+17</v>
      </c>
      <c r="Q97" s="187">
        <f t="shared" si="19"/>
        <v>797.99999999999989</v>
      </c>
      <c r="R97" s="219">
        <f t="shared" si="20"/>
        <v>1.4363999999999999</v>
      </c>
      <c r="S97" s="219">
        <f t="shared" si="21"/>
        <v>50.768759999999993</v>
      </c>
      <c r="T97" s="219">
        <f t="shared" si="22"/>
        <v>67.191599999999994</v>
      </c>
      <c r="U97" s="219">
        <f t="shared" si="23"/>
        <v>0.4911653292</v>
      </c>
      <c r="V97" s="188">
        <f t="shared" si="24"/>
        <v>7.20594E+16</v>
      </c>
      <c r="X97" s="323">
        <v>0.04</v>
      </c>
      <c r="Y97" s="323">
        <v>2.86E-2</v>
      </c>
      <c r="Z97" s="323">
        <v>1.3299999999999999E-2</v>
      </c>
      <c r="AB97" s="323">
        <v>7.1</v>
      </c>
      <c r="AC97" s="323">
        <v>4.8</v>
      </c>
      <c r="AD97" s="323">
        <v>1.8</v>
      </c>
      <c r="AF97" s="323">
        <v>4.71</v>
      </c>
      <c r="AG97" s="323">
        <v>10.23</v>
      </c>
      <c r="AH97" s="323">
        <v>63.62</v>
      </c>
      <c r="AJ97" s="323">
        <v>5.8</v>
      </c>
      <c r="AK97" s="323">
        <v>12.9</v>
      </c>
      <c r="AL97" s="323">
        <v>84.2</v>
      </c>
      <c r="AN97" s="323">
        <v>0.25319999999999998</v>
      </c>
      <c r="AO97" s="323">
        <v>0.224</v>
      </c>
      <c r="AP97" s="323">
        <v>0.17399999999999999</v>
      </c>
      <c r="AR97" s="323">
        <v>0.66012000000000004</v>
      </c>
      <c r="AS97" s="323">
        <v>0.84839750000000003</v>
      </c>
      <c r="AT97" s="323">
        <v>0.61549540000000003</v>
      </c>
      <c r="AV97" s="190">
        <v>1.227E+16</v>
      </c>
      <c r="AW97" s="190">
        <v>8.22E+16</v>
      </c>
      <c r="AX97" s="190">
        <v>9.03E+16</v>
      </c>
      <c r="AY97" s="203">
        <v>0.2</v>
      </c>
      <c r="BB97" s="204">
        <v>42502</v>
      </c>
      <c r="BC97" s="203" t="s">
        <v>3072</v>
      </c>
    </row>
    <row r="98" spans="1:55" x14ac:dyDescent="0.2">
      <c r="A98" s="184" t="s">
        <v>907</v>
      </c>
      <c r="B98" s="184" t="s">
        <v>907</v>
      </c>
      <c r="C98" s="184" t="s">
        <v>869</v>
      </c>
      <c r="D98" s="185" t="s">
        <v>812</v>
      </c>
      <c r="E98" s="184" t="s">
        <v>908</v>
      </c>
      <c r="F98" s="184" t="s">
        <v>908</v>
      </c>
      <c r="G98" s="186">
        <f>IF(ALECA_Input!$F$13="ICAO (3000ft)",'Aircraft Calc'!C$218,'Aircraft Calc'!G$218)</f>
        <v>0</v>
      </c>
      <c r="H98" s="186">
        <f>IF(ALECA_Input!$F$13="ICAO (3000ft)",'Aircraft Calc'!D$218,'Aircraft Calc'!H$218)</f>
        <v>3</v>
      </c>
      <c r="I98" s="186">
        <f>IF(ALECA_Input!$F$13="ICAO (3000ft)",'Aircraft Calc'!E$218,'Aircraft Calc'!I$218)</f>
        <v>5.5</v>
      </c>
      <c r="J98" s="186">
        <v>1</v>
      </c>
      <c r="K98" s="187">
        <f t="shared" si="13"/>
        <v>14.310000000000002</v>
      </c>
      <c r="L98" s="187">
        <f t="shared" si="14"/>
        <v>7.2322200000000003E-2</v>
      </c>
      <c r="M98" s="187">
        <f t="shared" si="15"/>
        <v>0.14249736000000002</v>
      </c>
      <c r="N98" s="187">
        <f t="shared" si="16"/>
        <v>0.17897759999999999</v>
      </c>
      <c r="O98" s="187">
        <f t="shared" si="17"/>
        <v>1.257451398E-2</v>
      </c>
      <c r="P98" s="188">
        <f t="shared" si="18"/>
        <v>5.2520238000000006E+17</v>
      </c>
      <c r="Q98" s="187">
        <f t="shared" si="19"/>
        <v>894</v>
      </c>
      <c r="R98" s="219">
        <f t="shared" si="20"/>
        <v>1.8774000000000002</v>
      </c>
      <c r="S98" s="219">
        <f t="shared" si="21"/>
        <v>44.029499999999999</v>
      </c>
      <c r="T98" s="219">
        <f t="shared" si="22"/>
        <v>57.841800000000006</v>
      </c>
      <c r="U98" s="219">
        <f t="shared" si="23"/>
        <v>0.47501125500000002</v>
      </c>
      <c r="V98" s="188">
        <f t="shared" si="24"/>
        <v>9.387E+16</v>
      </c>
      <c r="X98" s="323">
        <v>3.3300000000000003E-2</v>
      </c>
      <c r="Y98" s="323">
        <v>2.52E-2</v>
      </c>
      <c r="Z98" s="323">
        <v>1.49E-2</v>
      </c>
      <c r="AB98" s="323">
        <v>6.1</v>
      </c>
      <c r="AC98" s="323">
        <v>4.3</v>
      </c>
      <c r="AD98" s="323">
        <v>2.1</v>
      </c>
      <c r="AF98" s="323">
        <v>6.32</v>
      </c>
      <c r="AG98" s="323">
        <v>12.58</v>
      </c>
      <c r="AH98" s="323">
        <v>49.25</v>
      </c>
      <c r="AJ98" s="323">
        <v>7.8</v>
      </c>
      <c r="AK98" s="323">
        <v>15.9</v>
      </c>
      <c r="AL98" s="323">
        <v>64.7</v>
      </c>
      <c r="AN98" s="323">
        <v>0.22559999999999999</v>
      </c>
      <c r="AO98" s="323">
        <v>0.2114</v>
      </c>
      <c r="AP98" s="323">
        <v>0.17849999999999999</v>
      </c>
      <c r="AR98" s="323">
        <v>0.75488</v>
      </c>
      <c r="AS98" s="323">
        <v>0.96798499999999998</v>
      </c>
      <c r="AT98" s="323">
        <v>0.53133249999999999</v>
      </c>
      <c r="AV98" s="190">
        <v>8790000000000000</v>
      </c>
      <c r="AW98" s="190">
        <v>5.682E+16</v>
      </c>
      <c r="AX98" s="190">
        <v>1.05E+17</v>
      </c>
      <c r="AY98" s="203">
        <v>0.2</v>
      </c>
      <c r="BB98" s="204">
        <v>42502</v>
      </c>
      <c r="BC98" s="203" t="s">
        <v>815</v>
      </c>
    </row>
    <row r="99" spans="1:55" x14ac:dyDescent="0.2">
      <c r="A99" s="184" t="s">
        <v>909</v>
      </c>
      <c r="B99" s="184" t="s">
        <v>909</v>
      </c>
      <c r="C99" s="184" t="s">
        <v>869</v>
      </c>
      <c r="D99" s="185" t="s">
        <v>812</v>
      </c>
      <c r="E99" s="184" t="s">
        <v>910</v>
      </c>
      <c r="F99" s="184" t="s">
        <v>910</v>
      </c>
      <c r="G99" s="186">
        <f>IF(ALECA_Input!$F$13="ICAO (3000ft)",'Aircraft Calc'!C$218,'Aircraft Calc'!G$218)</f>
        <v>0</v>
      </c>
      <c r="H99" s="186">
        <f>IF(ALECA_Input!$F$13="ICAO (3000ft)",'Aircraft Calc'!D$218,'Aircraft Calc'!H$218)</f>
        <v>3</v>
      </c>
      <c r="I99" s="186">
        <f>IF(ALECA_Input!$F$13="ICAO (3000ft)",'Aircraft Calc'!E$218,'Aircraft Calc'!I$218)</f>
        <v>5.5</v>
      </c>
      <c r="J99" s="186">
        <v>1</v>
      </c>
      <c r="K99" s="187">
        <f t="shared" si="13"/>
        <v>17.141999999999999</v>
      </c>
      <c r="L99" s="187">
        <f t="shared" si="14"/>
        <v>0.10276079999999999</v>
      </c>
      <c r="M99" s="187">
        <f t="shared" si="15"/>
        <v>0.12594989999999998</v>
      </c>
      <c r="N99" s="187">
        <f t="shared" si="16"/>
        <v>0.15712799999999999</v>
      </c>
      <c r="O99" s="187">
        <f t="shared" si="17"/>
        <v>1.2725163299999998E-2</v>
      </c>
      <c r="P99" s="188">
        <f t="shared" si="18"/>
        <v>9.0377441999999987E+17</v>
      </c>
      <c r="Q99" s="187">
        <f t="shared" si="19"/>
        <v>816</v>
      </c>
      <c r="R99" s="219">
        <f t="shared" si="20"/>
        <v>1.5503999999999998</v>
      </c>
      <c r="S99" s="219">
        <f t="shared" si="21"/>
        <v>48.821279999999994</v>
      </c>
      <c r="T99" s="219">
        <f t="shared" si="22"/>
        <v>64.463999999999999</v>
      </c>
      <c r="U99" s="219">
        <f t="shared" si="23"/>
        <v>0.48438665759999994</v>
      </c>
      <c r="V99" s="188">
        <f t="shared" si="24"/>
        <v>7.4256E+16</v>
      </c>
      <c r="X99" s="323">
        <v>4.1700000000000001E-2</v>
      </c>
      <c r="Y99" s="323">
        <v>2.92E-2</v>
      </c>
      <c r="Z99" s="323">
        <v>1.3599999999999999E-2</v>
      </c>
      <c r="AB99" s="323">
        <v>7.4</v>
      </c>
      <c r="AC99" s="323">
        <v>4.9000000000000004</v>
      </c>
      <c r="AD99" s="323">
        <v>1.9</v>
      </c>
      <c r="AF99" s="323">
        <v>4.43</v>
      </c>
      <c r="AG99" s="323">
        <v>9.6199999999999992</v>
      </c>
      <c r="AH99" s="323">
        <v>59.83</v>
      </c>
      <c r="AJ99" s="323">
        <v>5.4</v>
      </c>
      <c r="AK99" s="323">
        <v>12.1</v>
      </c>
      <c r="AL99" s="323">
        <v>79</v>
      </c>
      <c r="AN99" s="323">
        <v>0.25919999999999999</v>
      </c>
      <c r="AO99" s="323">
        <v>0.22819999999999999</v>
      </c>
      <c r="AP99" s="323">
        <v>0.17549999999999999</v>
      </c>
      <c r="AR99" s="323">
        <v>0.64483999999999997</v>
      </c>
      <c r="AS99" s="323">
        <v>0.81828500000000004</v>
      </c>
      <c r="AT99" s="323">
        <v>0.59361109999999995</v>
      </c>
      <c r="AV99" s="190">
        <v>1.257E+16</v>
      </c>
      <c r="AW99" s="190">
        <v>8.4E+16</v>
      </c>
      <c r="AX99" s="190">
        <v>9.1E+16</v>
      </c>
      <c r="AY99" s="203">
        <v>0.2</v>
      </c>
      <c r="BB99" s="204">
        <v>42502</v>
      </c>
      <c r="BC99" s="203" t="s">
        <v>3072</v>
      </c>
    </row>
    <row r="100" spans="1:55" x14ac:dyDescent="0.2">
      <c r="A100" s="184" t="s">
        <v>911</v>
      </c>
      <c r="B100" s="184" t="s">
        <v>911</v>
      </c>
      <c r="C100" s="184" t="s">
        <v>869</v>
      </c>
      <c r="D100" s="185" t="s">
        <v>812</v>
      </c>
      <c r="E100" s="184" t="s">
        <v>912</v>
      </c>
      <c r="F100" s="184" t="s">
        <v>913</v>
      </c>
      <c r="G100" s="186">
        <f>IF(ALECA_Input!$F$13="ICAO (3000ft)",'Aircraft Calc'!C$218,'Aircraft Calc'!G$218)</f>
        <v>0</v>
      </c>
      <c r="H100" s="186">
        <f>IF(ALECA_Input!$F$13="ICAO (3000ft)",'Aircraft Calc'!D$218,'Aircraft Calc'!H$218)</f>
        <v>3</v>
      </c>
      <c r="I100" s="186">
        <f>IF(ALECA_Input!$F$13="ICAO (3000ft)",'Aircraft Calc'!E$218,'Aircraft Calc'!I$218)</f>
        <v>5.5</v>
      </c>
      <c r="J100" s="186">
        <v>1</v>
      </c>
      <c r="K100" s="187">
        <f t="shared" si="13"/>
        <v>14.01</v>
      </c>
      <c r="L100" s="187">
        <f t="shared" si="14"/>
        <v>6.7808999999999994E-2</v>
      </c>
      <c r="M100" s="187">
        <f t="shared" si="15"/>
        <v>0.1515408</v>
      </c>
      <c r="N100" s="187">
        <f t="shared" si="16"/>
        <v>0.19086</v>
      </c>
      <c r="O100" s="187">
        <f t="shared" si="17"/>
        <v>1.2954464400000001E-2</v>
      </c>
      <c r="P100" s="188">
        <f t="shared" si="18"/>
        <v>5.089302E+17</v>
      </c>
      <c r="Q100" s="187">
        <f t="shared" si="19"/>
        <v>840</v>
      </c>
      <c r="R100" s="219">
        <f t="shared" si="20"/>
        <v>1.68</v>
      </c>
      <c r="S100" s="219">
        <f t="shared" si="21"/>
        <v>44.713199999999993</v>
      </c>
      <c r="T100" s="219">
        <f t="shared" si="22"/>
        <v>58.883999999999993</v>
      </c>
      <c r="U100" s="219">
        <f t="shared" si="23"/>
        <v>0.46568684399999993</v>
      </c>
      <c r="V100" s="188">
        <f t="shared" si="24"/>
        <v>8.8788E+16</v>
      </c>
      <c r="X100" s="323">
        <v>3.2000000000000001E-2</v>
      </c>
      <c r="Y100" s="323">
        <v>2.5000000000000001E-2</v>
      </c>
      <c r="Z100" s="323">
        <v>1.4E-2</v>
      </c>
      <c r="AB100" s="323">
        <v>5.9</v>
      </c>
      <c r="AC100" s="323">
        <v>4.0999999999999996</v>
      </c>
      <c r="AD100" s="323">
        <v>2</v>
      </c>
      <c r="AF100" s="323">
        <v>6.83</v>
      </c>
      <c r="AG100" s="323">
        <v>13.6</v>
      </c>
      <c r="AH100" s="323">
        <v>53.23</v>
      </c>
      <c r="AJ100" s="323">
        <v>8.5</v>
      </c>
      <c r="AK100" s="323">
        <v>17.2</v>
      </c>
      <c r="AL100" s="323">
        <v>70.099999999999994</v>
      </c>
      <c r="AN100" s="323">
        <v>0.21840000000000001</v>
      </c>
      <c r="AO100" s="323">
        <v>0.2072</v>
      </c>
      <c r="AP100" s="323">
        <v>0.17699999999999999</v>
      </c>
      <c r="AR100" s="323">
        <v>0.78644000000000003</v>
      </c>
      <c r="AS100" s="323">
        <v>1.0211600000000001</v>
      </c>
      <c r="AT100" s="323">
        <v>0.55438909999999997</v>
      </c>
      <c r="AV100" s="190">
        <v>8520000000000000</v>
      </c>
      <c r="AW100" s="190">
        <v>5.574E+16</v>
      </c>
      <c r="AX100" s="190">
        <v>1.057E+17</v>
      </c>
      <c r="AY100" s="203">
        <v>0.2</v>
      </c>
      <c r="BB100" s="204">
        <v>42502</v>
      </c>
      <c r="BC100" s="203" t="s">
        <v>815</v>
      </c>
    </row>
    <row r="101" spans="1:55" x14ac:dyDescent="0.2">
      <c r="A101" s="184" t="s">
        <v>914</v>
      </c>
      <c r="B101" s="184" t="s">
        <v>914</v>
      </c>
      <c r="C101" s="184" t="s">
        <v>869</v>
      </c>
      <c r="D101" s="185" t="s">
        <v>812</v>
      </c>
      <c r="E101" s="184" t="s">
        <v>915</v>
      </c>
      <c r="F101" s="184" t="s">
        <v>916</v>
      </c>
      <c r="G101" s="186">
        <f>IF(ALECA_Input!$F$13="ICAO (3000ft)",'Aircraft Calc'!C$218,'Aircraft Calc'!G$218)</f>
        <v>0</v>
      </c>
      <c r="H101" s="186">
        <f>IF(ALECA_Input!$F$13="ICAO (3000ft)",'Aircraft Calc'!D$218,'Aircraft Calc'!H$218)</f>
        <v>3</v>
      </c>
      <c r="I101" s="186">
        <f>IF(ALECA_Input!$F$13="ICAO (3000ft)",'Aircraft Calc'!E$218,'Aircraft Calc'!I$218)</f>
        <v>5.5</v>
      </c>
      <c r="J101" s="186">
        <v>1</v>
      </c>
      <c r="K101" s="187">
        <f t="shared" si="13"/>
        <v>16.286999999999999</v>
      </c>
      <c r="L101" s="187">
        <f t="shared" si="14"/>
        <v>9.6441599999999988E-2</v>
      </c>
      <c r="M101" s="187">
        <f t="shared" si="15"/>
        <v>0.12032594999999997</v>
      </c>
      <c r="N101" s="187">
        <f t="shared" si="16"/>
        <v>0.15022469999999999</v>
      </c>
      <c r="O101" s="187">
        <f t="shared" si="17"/>
        <v>1.2135695932499999E-2</v>
      </c>
      <c r="P101" s="188">
        <f t="shared" si="18"/>
        <v>6.3501605999999987E+17</v>
      </c>
      <c r="Q101" s="187">
        <f t="shared" si="19"/>
        <v>1020</v>
      </c>
      <c r="R101" s="219">
        <f t="shared" si="20"/>
        <v>2.448</v>
      </c>
      <c r="S101" s="219">
        <f t="shared" si="21"/>
        <v>37.74</v>
      </c>
      <c r="T101" s="219">
        <f t="shared" si="22"/>
        <v>49.164000000000001</v>
      </c>
      <c r="U101" s="219">
        <f t="shared" si="23"/>
        <v>0.47098499999999999</v>
      </c>
      <c r="V101" s="188">
        <f t="shared" si="24"/>
        <v>1.12098E+17</v>
      </c>
      <c r="X101" s="323">
        <v>3.9699999999999999E-2</v>
      </c>
      <c r="Y101" s="323">
        <v>2.7699999999999999E-2</v>
      </c>
      <c r="Z101" s="323">
        <v>1.7000000000000001E-2</v>
      </c>
      <c r="AB101" s="323">
        <v>7.1</v>
      </c>
      <c r="AC101" s="323">
        <v>5</v>
      </c>
      <c r="AD101" s="323">
        <v>2.4</v>
      </c>
      <c r="AF101" s="323">
        <v>4.75</v>
      </c>
      <c r="AG101" s="323">
        <v>9.4499999999999993</v>
      </c>
      <c r="AH101" s="323">
        <v>37</v>
      </c>
      <c r="AJ101" s="323">
        <v>5.8</v>
      </c>
      <c r="AK101" s="323">
        <v>11.9</v>
      </c>
      <c r="AL101" s="323">
        <v>48.2</v>
      </c>
      <c r="AN101" s="323">
        <v>0.252</v>
      </c>
      <c r="AO101" s="323">
        <v>0.2296</v>
      </c>
      <c r="AP101" s="323">
        <v>0.1845</v>
      </c>
      <c r="AR101" s="323">
        <v>0.66195999999999999</v>
      </c>
      <c r="AS101" s="323">
        <v>0.81012249999999997</v>
      </c>
      <c r="AT101" s="323">
        <v>0.46174999999999999</v>
      </c>
      <c r="AV101" s="190">
        <v>9810000000000000</v>
      </c>
      <c r="AW101" s="190">
        <v>6.18E+16</v>
      </c>
      <c r="AX101" s="190">
        <v>1.099E+17</v>
      </c>
      <c r="AY101" s="203">
        <v>0.2</v>
      </c>
      <c r="BB101" s="204">
        <v>42502</v>
      </c>
      <c r="BC101" s="203" t="s">
        <v>815</v>
      </c>
    </row>
    <row r="102" spans="1:55" x14ac:dyDescent="0.2">
      <c r="A102" s="184" t="s">
        <v>917</v>
      </c>
      <c r="B102" s="184" t="s">
        <v>917</v>
      </c>
      <c r="C102" s="184" t="s">
        <v>869</v>
      </c>
      <c r="D102" s="185" t="s">
        <v>812</v>
      </c>
      <c r="E102" s="184" t="s">
        <v>915</v>
      </c>
      <c r="F102" s="184" t="s">
        <v>916</v>
      </c>
      <c r="G102" s="186">
        <f>IF(ALECA_Input!$F$13="ICAO (3000ft)",'Aircraft Calc'!C$218,'Aircraft Calc'!G$218)</f>
        <v>0</v>
      </c>
      <c r="H102" s="186">
        <f>IF(ALECA_Input!$F$13="ICAO (3000ft)",'Aircraft Calc'!D$218,'Aircraft Calc'!H$218)</f>
        <v>3</v>
      </c>
      <c r="I102" s="186">
        <f>IF(ALECA_Input!$F$13="ICAO (3000ft)",'Aircraft Calc'!E$218,'Aircraft Calc'!I$218)</f>
        <v>5.5</v>
      </c>
      <c r="J102" s="186">
        <v>1</v>
      </c>
      <c r="K102" s="187">
        <f t="shared" si="13"/>
        <v>15.137999999999998</v>
      </c>
      <c r="L102" s="187">
        <f t="shared" si="14"/>
        <v>8.1842399999999996E-2</v>
      </c>
      <c r="M102" s="187">
        <f t="shared" si="15"/>
        <v>0.1342197</v>
      </c>
      <c r="N102" s="187">
        <f t="shared" si="16"/>
        <v>0.16887419999999997</v>
      </c>
      <c r="O102" s="187">
        <f t="shared" si="17"/>
        <v>1.2414993164999999E-2</v>
      </c>
      <c r="P102" s="188">
        <f t="shared" si="18"/>
        <v>7.5141216E+17</v>
      </c>
      <c r="Q102" s="187">
        <f t="shared" si="19"/>
        <v>744</v>
      </c>
      <c r="R102" s="219">
        <f t="shared" si="20"/>
        <v>1.2647999999999999</v>
      </c>
      <c r="S102" s="219">
        <f t="shared" si="21"/>
        <v>53.716799999999999</v>
      </c>
      <c r="T102" s="219">
        <f t="shared" si="22"/>
        <v>71.349600000000009</v>
      </c>
      <c r="U102" s="219">
        <f t="shared" si="23"/>
        <v>0.496198896</v>
      </c>
      <c r="V102" s="188">
        <f t="shared" si="24"/>
        <v>6.66624E+16</v>
      </c>
      <c r="X102" s="323">
        <v>3.6799999999999999E-2</v>
      </c>
      <c r="Y102" s="323">
        <v>2.58E-2</v>
      </c>
      <c r="Z102" s="323">
        <v>1.24E-2</v>
      </c>
      <c r="AB102" s="323">
        <v>6.7</v>
      </c>
      <c r="AC102" s="323">
        <v>4.4000000000000004</v>
      </c>
      <c r="AD102" s="323">
        <v>1.7</v>
      </c>
      <c r="AF102" s="323">
        <v>5.34</v>
      </c>
      <c r="AG102" s="323">
        <v>11.61</v>
      </c>
      <c r="AH102" s="323">
        <v>72.2</v>
      </c>
      <c r="AJ102" s="323">
        <v>6.6</v>
      </c>
      <c r="AK102" s="323">
        <v>14.7</v>
      </c>
      <c r="AL102" s="323">
        <v>95.9</v>
      </c>
      <c r="AN102" s="323">
        <v>0.24</v>
      </c>
      <c r="AO102" s="323">
        <v>0.21560000000000001</v>
      </c>
      <c r="AP102" s="323">
        <v>0.17249999999999999</v>
      </c>
      <c r="AR102" s="323">
        <v>0.69479999999999997</v>
      </c>
      <c r="AS102" s="323">
        <v>0.91762250000000001</v>
      </c>
      <c r="AT102" s="323">
        <v>0.66693400000000003</v>
      </c>
      <c r="AV102" s="190">
        <v>1.164E+16</v>
      </c>
      <c r="AW102" s="190">
        <v>7.92E+16</v>
      </c>
      <c r="AX102" s="190">
        <v>8.96E+16</v>
      </c>
      <c r="AY102" s="203">
        <v>0.2</v>
      </c>
      <c r="BB102" s="204">
        <v>42502</v>
      </c>
      <c r="BC102" s="203" t="s">
        <v>3072</v>
      </c>
    </row>
    <row r="103" spans="1:55" x14ac:dyDescent="0.2">
      <c r="A103" s="184" t="s">
        <v>918</v>
      </c>
      <c r="B103" s="184" t="s">
        <v>918</v>
      </c>
      <c r="C103" s="184" t="s">
        <v>869</v>
      </c>
      <c r="D103" s="185" t="s">
        <v>812</v>
      </c>
      <c r="E103" s="184" t="s">
        <v>919</v>
      </c>
      <c r="F103" s="184" t="s">
        <v>920</v>
      </c>
      <c r="G103" s="186">
        <f>IF(ALECA_Input!$F$13="ICAO (3000ft)",'Aircraft Calc'!C$218,'Aircraft Calc'!G$218)</f>
        <v>0</v>
      </c>
      <c r="H103" s="186">
        <f>IF(ALECA_Input!$F$13="ICAO (3000ft)",'Aircraft Calc'!D$218,'Aircraft Calc'!H$218)</f>
        <v>3</v>
      </c>
      <c r="I103" s="186">
        <f>IF(ALECA_Input!$F$13="ICAO (3000ft)",'Aircraft Calc'!E$218,'Aircraft Calc'!I$218)</f>
        <v>5.5</v>
      </c>
      <c r="J103" s="186">
        <v>1</v>
      </c>
      <c r="K103" s="187">
        <f t="shared" si="13"/>
        <v>18.113999999999997</v>
      </c>
      <c r="L103" s="187">
        <f t="shared" si="14"/>
        <v>0.11492579999999998</v>
      </c>
      <c r="M103" s="187">
        <f t="shared" si="15"/>
        <v>0.11598233999999999</v>
      </c>
      <c r="N103" s="187">
        <f t="shared" si="16"/>
        <v>0.14376599999999995</v>
      </c>
      <c r="O103" s="187">
        <f t="shared" si="17"/>
        <v>1.2609652454999998E-2</v>
      </c>
      <c r="P103" s="188">
        <f t="shared" si="18"/>
        <v>7.0814843999999987E+17</v>
      </c>
      <c r="Q103" s="187">
        <f t="shared" si="19"/>
        <v>1079.9999999999998</v>
      </c>
      <c r="R103" s="219">
        <f t="shared" si="20"/>
        <v>2.8079999999999998</v>
      </c>
      <c r="S103" s="219">
        <f t="shared" si="21"/>
        <v>34.559999999999995</v>
      </c>
      <c r="T103" s="219">
        <f t="shared" si="22"/>
        <v>44.819999999999993</v>
      </c>
      <c r="U103" s="219">
        <f t="shared" si="23"/>
        <v>0.46861199999999992</v>
      </c>
      <c r="V103" s="188">
        <f t="shared" si="24"/>
        <v>1.2095999999999998E+17</v>
      </c>
      <c r="X103" s="323">
        <v>4.3799999999999999E-2</v>
      </c>
      <c r="Y103" s="323">
        <v>3.1E-2</v>
      </c>
      <c r="Z103" s="323">
        <v>1.7999999999999999E-2</v>
      </c>
      <c r="AB103" s="323">
        <v>7.7</v>
      </c>
      <c r="AC103" s="323">
        <v>5.3</v>
      </c>
      <c r="AD103" s="323">
        <v>2.6</v>
      </c>
      <c r="AF103" s="323">
        <v>4.1100000000000003</v>
      </c>
      <c r="AG103" s="323">
        <v>8.17</v>
      </c>
      <c r="AH103" s="323">
        <v>32</v>
      </c>
      <c r="AJ103" s="323">
        <v>5</v>
      </c>
      <c r="AK103" s="323">
        <v>10.199999999999999</v>
      </c>
      <c r="AL103" s="323">
        <v>41.5</v>
      </c>
      <c r="AN103" s="323">
        <v>0.2676</v>
      </c>
      <c r="AO103" s="323">
        <v>0.2394</v>
      </c>
      <c r="AP103" s="323">
        <v>0.1875</v>
      </c>
      <c r="AR103" s="323">
        <v>0.62892000000000003</v>
      </c>
      <c r="AS103" s="323">
        <v>0.74792250000000005</v>
      </c>
      <c r="AT103" s="323">
        <v>0.43390000000000001</v>
      </c>
      <c r="AV103" s="190">
        <v>1.041E+16</v>
      </c>
      <c r="AW103" s="190">
        <v>6.12E+16</v>
      </c>
      <c r="AX103" s="190">
        <v>1.12E+17</v>
      </c>
      <c r="AY103" s="203">
        <v>0.2</v>
      </c>
      <c r="BB103" s="204">
        <v>42502</v>
      </c>
      <c r="BC103" s="203" t="s">
        <v>815</v>
      </c>
    </row>
    <row r="104" spans="1:55" x14ac:dyDescent="0.2">
      <c r="A104" s="184" t="s">
        <v>921</v>
      </c>
      <c r="B104" s="184" t="s">
        <v>921</v>
      </c>
      <c r="C104" s="184" t="s">
        <v>869</v>
      </c>
      <c r="D104" s="185" t="s">
        <v>812</v>
      </c>
      <c r="E104" s="184" t="s">
        <v>922</v>
      </c>
      <c r="F104" s="184" t="s">
        <v>923</v>
      </c>
      <c r="G104" s="186">
        <f>IF(ALECA_Input!$F$13="ICAO (3000ft)",'Aircraft Calc'!C$218,'Aircraft Calc'!G$218)</f>
        <v>0</v>
      </c>
      <c r="H104" s="186">
        <f>IF(ALECA_Input!$F$13="ICAO (3000ft)",'Aircraft Calc'!D$218,'Aircraft Calc'!H$218)</f>
        <v>3</v>
      </c>
      <c r="I104" s="186">
        <f>IF(ALECA_Input!$F$13="ICAO (3000ft)",'Aircraft Calc'!E$218,'Aircraft Calc'!I$218)</f>
        <v>5.5</v>
      </c>
      <c r="J104" s="186">
        <v>1</v>
      </c>
      <c r="K104" s="187">
        <f t="shared" si="13"/>
        <v>16.704000000000001</v>
      </c>
      <c r="L104" s="187">
        <f t="shared" si="14"/>
        <v>0.10146599999999997</v>
      </c>
      <c r="M104" s="187">
        <f t="shared" si="15"/>
        <v>0.11693286</v>
      </c>
      <c r="N104" s="187">
        <f t="shared" si="16"/>
        <v>0.14658659999999998</v>
      </c>
      <c r="O104" s="187">
        <f t="shared" si="17"/>
        <v>1.2116780369999998E-2</v>
      </c>
      <c r="P104" s="188">
        <f t="shared" si="18"/>
        <v>6.539346E+17</v>
      </c>
      <c r="Q104" s="187">
        <f t="shared" si="19"/>
        <v>1044</v>
      </c>
      <c r="R104" s="219">
        <f t="shared" si="20"/>
        <v>2.6100000000000003</v>
      </c>
      <c r="S104" s="219">
        <f t="shared" si="21"/>
        <v>36.717480000000002</v>
      </c>
      <c r="T104" s="219">
        <f t="shared" si="22"/>
        <v>47.815199999999997</v>
      </c>
      <c r="U104" s="219">
        <f t="shared" si="23"/>
        <v>0.47027909160000003</v>
      </c>
      <c r="V104" s="188">
        <f t="shared" si="24"/>
        <v>1.147356E+17</v>
      </c>
      <c r="X104" s="323">
        <v>4.1099999999999998E-2</v>
      </c>
      <c r="Y104" s="323">
        <v>2.8199999999999999E-2</v>
      </c>
      <c r="Z104" s="323">
        <v>1.7399999999999999E-2</v>
      </c>
      <c r="AB104" s="323">
        <v>7.3</v>
      </c>
      <c r="AC104" s="323">
        <v>5.0999999999999996</v>
      </c>
      <c r="AD104" s="323">
        <v>2.5</v>
      </c>
      <c r="AF104" s="323">
        <v>4.51</v>
      </c>
      <c r="AG104" s="323">
        <v>8.98</v>
      </c>
      <c r="AH104" s="323">
        <v>35.17</v>
      </c>
      <c r="AJ104" s="323">
        <v>5.6</v>
      </c>
      <c r="AK104" s="323">
        <v>11.3</v>
      </c>
      <c r="AL104" s="323">
        <v>45.8</v>
      </c>
      <c r="AN104" s="323">
        <v>0.25679999999999997</v>
      </c>
      <c r="AO104" s="323">
        <v>0.2324</v>
      </c>
      <c r="AP104" s="323">
        <v>0.1845</v>
      </c>
      <c r="AR104" s="323">
        <v>0.64851999999999999</v>
      </c>
      <c r="AS104" s="323">
        <v>0.78648499999999999</v>
      </c>
      <c r="AT104" s="323">
        <v>0.4504589</v>
      </c>
      <c r="AV104" s="190">
        <v>9900000000000000</v>
      </c>
      <c r="AW104" s="190">
        <v>6.24E+16</v>
      </c>
      <c r="AX104" s="190">
        <v>1.099E+17</v>
      </c>
      <c r="AY104" s="203">
        <v>0.2</v>
      </c>
      <c r="BB104" s="204">
        <v>42502</v>
      </c>
      <c r="BC104" s="203" t="s">
        <v>815</v>
      </c>
    </row>
    <row r="105" spans="1:55" x14ac:dyDescent="0.2">
      <c r="A105" s="184" t="s">
        <v>924</v>
      </c>
      <c r="B105" s="184" t="s">
        <v>924</v>
      </c>
      <c r="C105" s="184" t="s">
        <v>869</v>
      </c>
      <c r="D105" s="185" t="s">
        <v>812</v>
      </c>
      <c r="E105" s="184" t="s">
        <v>925</v>
      </c>
      <c r="F105" s="184" t="s">
        <v>925</v>
      </c>
      <c r="G105" s="186">
        <f>IF(ALECA_Input!$F$13="ICAO (3000ft)",'Aircraft Calc'!C$218,'Aircraft Calc'!G$218)</f>
        <v>0</v>
      </c>
      <c r="H105" s="186">
        <f>IF(ALECA_Input!$F$13="ICAO (3000ft)",'Aircraft Calc'!D$218,'Aircraft Calc'!H$218)</f>
        <v>3</v>
      </c>
      <c r="I105" s="186">
        <f>IF(ALECA_Input!$F$13="ICAO (3000ft)",'Aircraft Calc'!E$218,'Aircraft Calc'!I$218)</f>
        <v>5.5</v>
      </c>
      <c r="J105" s="186">
        <v>1</v>
      </c>
      <c r="K105" s="187">
        <f t="shared" si="13"/>
        <v>28.005000000000003</v>
      </c>
      <c r="L105" s="187">
        <f t="shared" si="14"/>
        <v>0.23638950000000003</v>
      </c>
      <c r="M105" s="187">
        <f t="shared" si="15"/>
        <v>0.10720425</v>
      </c>
      <c r="N105" s="187">
        <f t="shared" si="16"/>
        <v>0.13170899999999999</v>
      </c>
      <c r="O105" s="187">
        <f t="shared" si="17"/>
        <v>1.6721427112500003E-2</v>
      </c>
      <c r="P105" s="188">
        <f t="shared" si="18"/>
        <v>2.3250231E+18</v>
      </c>
      <c r="Q105" s="187">
        <f t="shared" si="19"/>
        <v>1302</v>
      </c>
      <c r="R105" s="219">
        <f t="shared" si="20"/>
        <v>3.5154000000000005</v>
      </c>
      <c r="S105" s="219">
        <f t="shared" si="21"/>
        <v>39.971400000000003</v>
      </c>
      <c r="T105" s="219">
        <f t="shared" si="22"/>
        <v>51.819600000000001</v>
      </c>
      <c r="U105" s="219">
        <f t="shared" si="23"/>
        <v>0.55644745800000006</v>
      </c>
      <c r="V105" s="188">
        <f t="shared" si="24"/>
        <v>1.239504E+17</v>
      </c>
      <c r="X105" s="323">
        <v>6.8500000000000005E-2</v>
      </c>
      <c r="Y105" s="323">
        <v>4.7500000000000001E-2</v>
      </c>
      <c r="Z105" s="323">
        <v>2.1700000000000001E-2</v>
      </c>
      <c r="AB105" s="323">
        <v>10.4</v>
      </c>
      <c r="AC105" s="323">
        <v>6.9</v>
      </c>
      <c r="AD105" s="323">
        <v>2.7</v>
      </c>
      <c r="AF105" s="323">
        <v>2.2999999999999998</v>
      </c>
      <c r="AG105" s="323">
        <v>5.03</v>
      </c>
      <c r="AH105" s="323">
        <v>30.7</v>
      </c>
      <c r="AJ105" s="323">
        <v>2.8</v>
      </c>
      <c r="AK105" s="323">
        <v>6.2</v>
      </c>
      <c r="AL105" s="323">
        <v>39.799999999999997</v>
      </c>
      <c r="AN105" s="323">
        <v>0.34560000000000002</v>
      </c>
      <c r="AO105" s="323">
        <v>0.28699999999999998</v>
      </c>
      <c r="AP105" s="323">
        <v>0.189</v>
      </c>
      <c r="AR105" s="323">
        <v>0.56935999999999998</v>
      </c>
      <c r="AS105" s="323">
        <v>0.61889749999999999</v>
      </c>
      <c r="AT105" s="323">
        <v>0.42737900000000001</v>
      </c>
      <c r="AV105" s="190">
        <v>2.457E+16</v>
      </c>
      <c r="AW105" s="190">
        <v>1.29E+17</v>
      </c>
      <c r="AX105" s="190">
        <v>9.52E+16</v>
      </c>
      <c r="AY105" s="203">
        <v>0.7</v>
      </c>
      <c r="BB105" s="204">
        <v>42502</v>
      </c>
      <c r="BC105" s="203" t="s">
        <v>3075</v>
      </c>
    </row>
    <row r="106" spans="1:55" x14ac:dyDescent="0.2">
      <c r="A106" s="184" t="s">
        <v>926</v>
      </c>
      <c r="B106" s="184" t="s">
        <v>926</v>
      </c>
      <c r="C106" s="184" t="s">
        <v>869</v>
      </c>
      <c r="D106" s="185" t="s">
        <v>812</v>
      </c>
      <c r="E106" s="184" t="s">
        <v>927</v>
      </c>
      <c r="F106" s="184" t="s">
        <v>927</v>
      </c>
      <c r="G106" s="186">
        <f>IF(ALECA_Input!$F$13="ICAO (3000ft)",'Aircraft Calc'!C$218,'Aircraft Calc'!G$218)</f>
        <v>0</v>
      </c>
      <c r="H106" s="186">
        <f>IF(ALECA_Input!$F$13="ICAO (3000ft)",'Aircraft Calc'!D$218,'Aircraft Calc'!H$218)</f>
        <v>3</v>
      </c>
      <c r="I106" s="186">
        <f>IF(ALECA_Input!$F$13="ICAO (3000ft)",'Aircraft Calc'!E$218,'Aircraft Calc'!I$218)</f>
        <v>5.5</v>
      </c>
      <c r="J106" s="186">
        <v>1</v>
      </c>
      <c r="K106" s="187">
        <f t="shared" si="13"/>
        <v>25.602000000000004</v>
      </c>
      <c r="L106" s="187">
        <f t="shared" si="14"/>
        <v>0.19605600000000001</v>
      </c>
      <c r="M106" s="187">
        <f t="shared" si="15"/>
        <v>0.11851008000000002</v>
      </c>
      <c r="N106" s="187">
        <f t="shared" si="16"/>
        <v>0.14603759999999999</v>
      </c>
      <c r="O106" s="187">
        <f t="shared" si="17"/>
        <v>1.5948773790000002E-2</v>
      </c>
      <c r="P106" s="188">
        <f t="shared" si="18"/>
        <v>1.9802206800000003E+18</v>
      </c>
      <c r="Q106" s="187">
        <f t="shared" si="19"/>
        <v>1218</v>
      </c>
      <c r="R106" s="219">
        <f t="shared" si="20"/>
        <v>2.9232</v>
      </c>
      <c r="S106" s="219">
        <f t="shared" si="21"/>
        <v>45.090360000000004</v>
      </c>
      <c r="T106" s="219">
        <f t="shared" si="22"/>
        <v>58.829399999999993</v>
      </c>
      <c r="U106" s="219">
        <f t="shared" si="23"/>
        <v>0.56256180119999999</v>
      </c>
      <c r="V106" s="188">
        <f t="shared" si="24"/>
        <v>1.133958E+17</v>
      </c>
      <c r="X106" s="323">
        <v>6.2300000000000001E-2</v>
      </c>
      <c r="Y106" s="323">
        <v>4.36E-2</v>
      </c>
      <c r="Z106" s="323">
        <v>2.0299999999999999E-2</v>
      </c>
      <c r="AB106" s="323">
        <v>9.4</v>
      </c>
      <c r="AC106" s="323">
        <v>6.3</v>
      </c>
      <c r="AD106" s="323">
        <v>2.4</v>
      </c>
      <c r="AF106" s="323">
        <v>2.78</v>
      </c>
      <c r="AG106" s="323">
        <v>6.07</v>
      </c>
      <c r="AH106" s="323">
        <v>37.020000000000003</v>
      </c>
      <c r="AJ106" s="323">
        <v>3.4</v>
      </c>
      <c r="AK106" s="323">
        <v>7.5</v>
      </c>
      <c r="AL106" s="323">
        <v>48.3</v>
      </c>
      <c r="AN106" s="323">
        <v>0.318</v>
      </c>
      <c r="AO106" s="323">
        <v>0.26740000000000003</v>
      </c>
      <c r="AP106" s="323">
        <v>0.1845</v>
      </c>
      <c r="AR106" s="323">
        <v>0.57823999999999998</v>
      </c>
      <c r="AS106" s="323">
        <v>0.65779750000000003</v>
      </c>
      <c r="AT106" s="323">
        <v>0.46187339999999999</v>
      </c>
      <c r="AV106" s="190">
        <v>2.262E+16</v>
      </c>
      <c r="AW106" s="190">
        <v>1.2E+17</v>
      </c>
      <c r="AX106" s="190">
        <v>9.31E+16</v>
      </c>
      <c r="AY106" s="203">
        <v>0.7</v>
      </c>
      <c r="BB106" s="204">
        <v>42502</v>
      </c>
      <c r="BC106" s="203" t="s">
        <v>3075</v>
      </c>
    </row>
    <row r="107" spans="1:55" x14ac:dyDescent="0.2">
      <c r="A107" s="184" t="s">
        <v>928</v>
      </c>
      <c r="B107" s="184" t="s">
        <v>928</v>
      </c>
      <c r="C107" s="184" t="s">
        <v>869</v>
      </c>
      <c r="D107" s="185" t="s">
        <v>812</v>
      </c>
      <c r="E107" s="184" t="s">
        <v>929</v>
      </c>
      <c r="F107" s="184" t="s">
        <v>716</v>
      </c>
      <c r="G107" s="186">
        <f>IF(ALECA_Input!$F$13="ICAO (3000ft)",'Aircraft Calc'!C$218,'Aircraft Calc'!G$218)</f>
        <v>0</v>
      </c>
      <c r="H107" s="186">
        <f>IF(ALECA_Input!$F$13="ICAO (3000ft)",'Aircraft Calc'!D$218,'Aircraft Calc'!H$218)</f>
        <v>3</v>
      </c>
      <c r="I107" s="186">
        <f>IF(ALECA_Input!$F$13="ICAO (3000ft)",'Aircraft Calc'!E$218,'Aircraft Calc'!I$218)</f>
        <v>5.5</v>
      </c>
      <c r="J107" s="186">
        <v>1</v>
      </c>
      <c r="K107" s="187">
        <f t="shared" si="13"/>
        <v>11.28</v>
      </c>
      <c r="L107" s="187">
        <f t="shared" si="14"/>
        <v>4.1051999999999998E-2</v>
      </c>
      <c r="M107" s="187">
        <f t="shared" si="15"/>
        <v>0.21240359999999997</v>
      </c>
      <c r="N107" s="187">
        <f t="shared" si="16"/>
        <v>0.27262799999999998</v>
      </c>
      <c r="O107" s="187">
        <f t="shared" si="17"/>
        <v>1.5671424899999998E-2</v>
      </c>
      <c r="P107" s="188">
        <f t="shared" si="18"/>
        <v>3.581352E+17</v>
      </c>
      <c r="Q107" s="187">
        <f t="shared" si="19"/>
        <v>659.99999999999989</v>
      </c>
      <c r="R107" s="219">
        <f t="shared" si="20"/>
        <v>0.98999999999999988</v>
      </c>
      <c r="S107" s="219">
        <f t="shared" si="21"/>
        <v>61.327199999999991</v>
      </c>
      <c r="T107" s="219">
        <f t="shared" si="22"/>
        <v>82.037999999999982</v>
      </c>
      <c r="U107" s="219">
        <f t="shared" si="23"/>
        <v>0.52257242399999992</v>
      </c>
      <c r="V107" s="188">
        <f t="shared" si="24"/>
        <v>6.6527999999999992E+16</v>
      </c>
      <c r="X107" s="323">
        <v>2.5999999999999999E-2</v>
      </c>
      <c r="Y107" s="323">
        <v>0.02</v>
      </c>
      <c r="Z107" s="323">
        <v>1.0999999999999999E-2</v>
      </c>
      <c r="AB107" s="323">
        <v>4.4000000000000004</v>
      </c>
      <c r="AC107" s="323">
        <v>3.1</v>
      </c>
      <c r="AD107" s="323">
        <v>1.5</v>
      </c>
      <c r="AF107" s="323">
        <v>11.92</v>
      </c>
      <c r="AG107" s="323">
        <v>23.73</v>
      </c>
      <c r="AH107" s="323">
        <v>92.92</v>
      </c>
      <c r="AJ107" s="323">
        <v>15.1</v>
      </c>
      <c r="AK107" s="323">
        <v>30.6</v>
      </c>
      <c r="AL107" s="323">
        <v>124.3</v>
      </c>
      <c r="AN107" s="323">
        <v>0.18360000000000001</v>
      </c>
      <c r="AO107" s="323">
        <v>0.18340000000000001</v>
      </c>
      <c r="AP107" s="323">
        <v>0.16950000000000001</v>
      </c>
      <c r="AR107" s="323">
        <v>1.1384799999999999</v>
      </c>
      <c r="AS107" s="323">
        <v>1.5671725000000001</v>
      </c>
      <c r="AT107" s="323">
        <v>0.79177640000000005</v>
      </c>
      <c r="AV107" s="190">
        <v>7140000000000000</v>
      </c>
      <c r="AW107" s="190">
        <v>4.92E+16</v>
      </c>
      <c r="AX107" s="190">
        <v>1.008E+17</v>
      </c>
      <c r="AY107" s="203">
        <v>0.2</v>
      </c>
      <c r="BB107" s="204">
        <v>42502</v>
      </c>
      <c r="BC107" s="203" t="s">
        <v>815</v>
      </c>
    </row>
    <row r="108" spans="1:55" x14ac:dyDescent="0.2">
      <c r="A108" s="184" t="s">
        <v>930</v>
      </c>
      <c r="B108" s="184" t="s">
        <v>930</v>
      </c>
      <c r="C108" s="184" t="s">
        <v>869</v>
      </c>
      <c r="D108" s="185" t="s">
        <v>812</v>
      </c>
      <c r="E108" s="184" t="s">
        <v>931</v>
      </c>
      <c r="F108" s="184" t="s">
        <v>716</v>
      </c>
      <c r="G108" s="186">
        <f>IF(ALECA_Input!$F$13="ICAO (3000ft)",'Aircraft Calc'!C$218,'Aircraft Calc'!G$218)</f>
        <v>0</v>
      </c>
      <c r="H108" s="186">
        <f>IF(ALECA_Input!$F$13="ICAO (3000ft)",'Aircraft Calc'!D$218,'Aircraft Calc'!H$218)</f>
        <v>3</v>
      </c>
      <c r="I108" s="186">
        <f>IF(ALECA_Input!$F$13="ICAO (3000ft)",'Aircraft Calc'!E$218,'Aircraft Calc'!I$218)</f>
        <v>5.5</v>
      </c>
      <c r="J108" s="186">
        <v>1</v>
      </c>
      <c r="K108" s="187">
        <f t="shared" si="13"/>
        <v>25.86</v>
      </c>
      <c r="L108" s="187">
        <f t="shared" si="14"/>
        <v>0.20179199999999997</v>
      </c>
      <c r="M108" s="187">
        <f t="shared" si="15"/>
        <v>0.1153332</v>
      </c>
      <c r="N108" s="187">
        <f t="shared" si="16"/>
        <v>0.14083199999999998</v>
      </c>
      <c r="O108" s="187">
        <f t="shared" si="17"/>
        <v>1.59376803E-2</v>
      </c>
      <c r="P108" s="188">
        <f t="shared" si="18"/>
        <v>2.020077E+18</v>
      </c>
      <c r="Q108" s="187">
        <f t="shared" si="19"/>
        <v>1260</v>
      </c>
      <c r="R108" s="219">
        <f t="shared" si="20"/>
        <v>3.15</v>
      </c>
      <c r="S108" s="219">
        <f t="shared" si="21"/>
        <v>44.9694</v>
      </c>
      <c r="T108" s="219">
        <f t="shared" si="22"/>
        <v>58.59</v>
      </c>
      <c r="U108" s="219">
        <f t="shared" si="23"/>
        <v>0.57162079799999999</v>
      </c>
      <c r="V108" s="188">
        <f t="shared" si="24"/>
        <v>1.17306E+17</v>
      </c>
      <c r="X108" s="323">
        <v>6.3E-2</v>
      </c>
      <c r="Y108" s="323">
        <v>4.3999999999999997E-2</v>
      </c>
      <c r="Z108" s="323">
        <v>2.1000000000000001E-2</v>
      </c>
      <c r="AB108" s="323">
        <v>9.6</v>
      </c>
      <c r="AC108" s="323">
        <v>6.4</v>
      </c>
      <c r="AD108" s="323">
        <v>2.5</v>
      </c>
      <c r="AF108" s="323">
        <v>2.68</v>
      </c>
      <c r="AG108" s="323">
        <v>5.85</v>
      </c>
      <c r="AH108" s="323">
        <v>35.69</v>
      </c>
      <c r="AJ108" s="323">
        <v>3.2</v>
      </c>
      <c r="AK108" s="323">
        <v>7.2</v>
      </c>
      <c r="AL108" s="323">
        <v>46.5</v>
      </c>
      <c r="AN108" s="323">
        <v>0.32279999999999998</v>
      </c>
      <c r="AO108" s="323">
        <v>0.2702</v>
      </c>
      <c r="AP108" s="323">
        <v>0.1845</v>
      </c>
      <c r="AR108" s="323">
        <v>0.57543999999999995</v>
      </c>
      <c r="AS108" s="323">
        <v>0.64822250000000003</v>
      </c>
      <c r="AT108" s="323">
        <v>0.4536673</v>
      </c>
      <c r="AV108" s="190">
        <v>2.295E+16</v>
      </c>
      <c r="AW108" s="190">
        <v>1.212E+17</v>
      </c>
      <c r="AX108" s="190">
        <v>9.31E+16</v>
      </c>
      <c r="AY108" s="203">
        <v>0.7</v>
      </c>
      <c r="BB108" s="204">
        <v>42502</v>
      </c>
      <c r="BC108" s="203" t="s">
        <v>3075</v>
      </c>
    </row>
    <row r="109" spans="1:55" x14ac:dyDescent="0.2">
      <c r="A109" s="184" t="s">
        <v>932</v>
      </c>
      <c r="B109" s="184" t="s">
        <v>932</v>
      </c>
      <c r="C109" s="184" t="s">
        <v>934</v>
      </c>
      <c r="D109" s="185" t="s">
        <v>812</v>
      </c>
      <c r="E109" s="184" t="s">
        <v>933</v>
      </c>
      <c r="F109" s="184" t="s">
        <v>933</v>
      </c>
      <c r="G109" s="186">
        <f>IF(ALECA_Input!$F$13="ICAO (3000ft)",'Aircraft Calc'!C$218,'Aircraft Calc'!G$218)</f>
        <v>0</v>
      </c>
      <c r="H109" s="186">
        <f>IF(ALECA_Input!$F$13="ICAO (3000ft)",'Aircraft Calc'!D$218,'Aircraft Calc'!H$218)</f>
        <v>3</v>
      </c>
      <c r="I109" s="186">
        <f>IF(ALECA_Input!$F$13="ICAO (3000ft)",'Aircraft Calc'!E$218,'Aircraft Calc'!I$218)</f>
        <v>5.5</v>
      </c>
      <c r="J109" s="186">
        <v>1</v>
      </c>
      <c r="K109" s="187">
        <f t="shared" si="13"/>
        <v>12.603000000000002</v>
      </c>
      <c r="L109" s="187">
        <f t="shared" si="14"/>
        <v>5.3038799999999997E-2</v>
      </c>
      <c r="M109" s="187">
        <f t="shared" si="15"/>
        <v>0.17675583</v>
      </c>
      <c r="N109" s="187">
        <f t="shared" si="16"/>
        <v>0.22454160000000001</v>
      </c>
      <c r="O109" s="187">
        <f t="shared" si="17"/>
        <v>1.3933246177500001E-2</v>
      </c>
      <c r="P109" s="188">
        <f t="shared" si="18"/>
        <v>4.3180272E+17</v>
      </c>
      <c r="Q109" s="187">
        <f t="shared" si="19"/>
        <v>762</v>
      </c>
      <c r="R109" s="219">
        <f t="shared" si="20"/>
        <v>1.2953999999999999</v>
      </c>
      <c r="S109" s="219">
        <f t="shared" si="21"/>
        <v>52.425599999999996</v>
      </c>
      <c r="T109" s="219">
        <f t="shared" si="22"/>
        <v>69.494399999999999</v>
      </c>
      <c r="U109" s="219">
        <f t="shared" si="23"/>
        <v>0.49221847199999996</v>
      </c>
      <c r="V109" s="188">
        <f t="shared" si="24"/>
        <v>7.84098E+16</v>
      </c>
      <c r="X109" s="323">
        <v>2.8400000000000002E-2</v>
      </c>
      <c r="Y109" s="323">
        <v>2.2700000000000001E-2</v>
      </c>
      <c r="Z109" s="323">
        <v>1.2699999999999999E-2</v>
      </c>
      <c r="AB109" s="323">
        <v>5.0999999999999996</v>
      </c>
      <c r="AC109" s="323">
        <v>3.6</v>
      </c>
      <c r="AD109" s="323">
        <v>1.7</v>
      </c>
      <c r="AF109" s="323">
        <v>8.83</v>
      </c>
      <c r="AG109" s="323">
        <v>17.57</v>
      </c>
      <c r="AH109" s="323">
        <v>68.8</v>
      </c>
      <c r="AJ109" s="323">
        <v>11.1</v>
      </c>
      <c r="AK109" s="323">
        <v>22.4</v>
      </c>
      <c r="AL109" s="323">
        <v>91.2</v>
      </c>
      <c r="AN109" s="323">
        <v>0.20039999999999999</v>
      </c>
      <c r="AO109" s="323">
        <v>0.1946</v>
      </c>
      <c r="AP109" s="323">
        <v>0.17249999999999999</v>
      </c>
      <c r="AR109" s="323">
        <v>0.92044000000000004</v>
      </c>
      <c r="AS109" s="323">
        <v>1.2318724999999999</v>
      </c>
      <c r="AT109" s="323">
        <v>0.64595599999999997</v>
      </c>
      <c r="AV109" s="190">
        <v>7800000000000000</v>
      </c>
      <c r="AW109" s="190">
        <v>5.232E+16</v>
      </c>
      <c r="AX109" s="190">
        <v>1.029E+17</v>
      </c>
      <c r="AY109" s="203">
        <v>0.2</v>
      </c>
      <c r="BB109" s="204">
        <v>42502</v>
      </c>
      <c r="BC109" s="203" t="s">
        <v>815</v>
      </c>
    </row>
    <row r="110" spans="1:55" x14ac:dyDescent="0.2">
      <c r="A110" s="184" t="s">
        <v>935</v>
      </c>
      <c r="B110" s="184" t="s">
        <v>935</v>
      </c>
      <c r="C110" s="184" t="s">
        <v>934</v>
      </c>
      <c r="D110" s="185" t="s">
        <v>812</v>
      </c>
      <c r="E110" s="184" t="s">
        <v>936</v>
      </c>
      <c r="F110" s="184" t="s">
        <v>937</v>
      </c>
      <c r="G110" s="186">
        <f>IF(ALECA_Input!$F$13="ICAO (3000ft)",'Aircraft Calc'!C$218,'Aircraft Calc'!G$218)</f>
        <v>0</v>
      </c>
      <c r="H110" s="186">
        <f>IF(ALECA_Input!$F$13="ICAO (3000ft)",'Aircraft Calc'!D$218,'Aircraft Calc'!H$218)</f>
        <v>3</v>
      </c>
      <c r="I110" s="186">
        <f>IF(ALECA_Input!$F$13="ICAO (3000ft)",'Aircraft Calc'!E$218,'Aircraft Calc'!I$218)</f>
        <v>5.5</v>
      </c>
      <c r="J110" s="186">
        <v>1</v>
      </c>
      <c r="K110" s="187">
        <f t="shared" si="13"/>
        <v>13.266000000000002</v>
      </c>
      <c r="L110" s="187">
        <f t="shared" si="14"/>
        <v>6.0944400000000003E-2</v>
      </c>
      <c r="M110" s="187">
        <f t="shared" si="15"/>
        <v>0.16372620000000002</v>
      </c>
      <c r="N110" s="187">
        <f t="shared" si="16"/>
        <v>0.20720700000000003</v>
      </c>
      <c r="O110" s="187">
        <f t="shared" si="17"/>
        <v>1.3381025130000002E-2</v>
      </c>
      <c r="P110" s="188">
        <f t="shared" si="18"/>
        <v>6.1236648E+17</v>
      </c>
      <c r="Q110" s="187">
        <f t="shared" si="19"/>
        <v>642</v>
      </c>
      <c r="R110" s="219">
        <f t="shared" si="20"/>
        <v>0.89879999999999993</v>
      </c>
      <c r="S110" s="219">
        <f t="shared" si="21"/>
        <v>63.609360000000002</v>
      </c>
      <c r="T110" s="219">
        <f t="shared" si="22"/>
        <v>85.193399999999997</v>
      </c>
      <c r="U110" s="219">
        <f t="shared" si="23"/>
        <v>0.53272107120000001</v>
      </c>
      <c r="V110" s="188">
        <f t="shared" si="24"/>
        <v>5.57256E+16</v>
      </c>
      <c r="X110" s="323">
        <v>3.0800000000000001E-2</v>
      </c>
      <c r="Y110" s="323">
        <v>2.3400000000000001E-2</v>
      </c>
      <c r="Z110" s="323">
        <v>1.0699999999999999E-2</v>
      </c>
      <c r="AB110" s="323">
        <v>5.7</v>
      </c>
      <c r="AC110" s="323">
        <v>3.8</v>
      </c>
      <c r="AD110" s="323">
        <v>1.4</v>
      </c>
      <c r="AF110" s="323">
        <v>7.33</v>
      </c>
      <c r="AG110" s="323">
        <v>15.94</v>
      </c>
      <c r="AH110" s="323">
        <v>99.08</v>
      </c>
      <c r="AJ110" s="323">
        <v>9.1</v>
      </c>
      <c r="AK110" s="323">
        <v>20.3</v>
      </c>
      <c r="AL110" s="323">
        <v>132.69999999999999</v>
      </c>
      <c r="AN110" s="323">
        <v>0.21360000000000001</v>
      </c>
      <c r="AO110" s="323">
        <v>0.1988</v>
      </c>
      <c r="AP110" s="323">
        <v>0.16950000000000001</v>
      </c>
      <c r="AR110" s="323">
        <v>0.81964000000000004</v>
      </c>
      <c r="AS110" s="323">
        <v>1.144385</v>
      </c>
      <c r="AT110" s="323">
        <v>0.82978359999999995</v>
      </c>
      <c r="AV110" s="190">
        <v>1.017E+16</v>
      </c>
      <c r="AW110" s="190">
        <v>7.2E+16</v>
      </c>
      <c r="AX110" s="190">
        <v>8.68E+16</v>
      </c>
      <c r="AY110" s="203">
        <v>0.2</v>
      </c>
      <c r="BB110" s="204">
        <v>42502</v>
      </c>
      <c r="BC110" s="203" t="s">
        <v>3072</v>
      </c>
    </row>
    <row r="111" spans="1:55" x14ac:dyDescent="0.2">
      <c r="A111" s="184" t="s">
        <v>938</v>
      </c>
      <c r="B111" s="184" t="s">
        <v>938</v>
      </c>
      <c r="C111" s="184" t="s">
        <v>934</v>
      </c>
      <c r="D111" s="185" t="s">
        <v>812</v>
      </c>
      <c r="E111" s="184" t="s">
        <v>936</v>
      </c>
      <c r="F111" s="184" t="s">
        <v>939</v>
      </c>
      <c r="G111" s="186">
        <f>IF(ALECA_Input!$F$13="ICAO (3000ft)",'Aircraft Calc'!C$218,'Aircraft Calc'!G$218)</f>
        <v>0</v>
      </c>
      <c r="H111" s="186">
        <f>IF(ALECA_Input!$F$13="ICAO (3000ft)",'Aircraft Calc'!D$218,'Aircraft Calc'!H$218)</f>
        <v>3</v>
      </c>
      <c r="I111" s="186">
        <f>IF(ALECA_Input!$F$13="ICAO (3000ft)",'Aircraft Calc'!E$218,'Aircraft Calc'!I$218)</f>
        <v>5.5</v>
      </c>
      <c r="J111" s="186">
        <v>1</v>
      </c>
      <c r="K111" s="187">
        <f t="shared" si="13"/>
        <v>14.135999999999999</v>
      </c>
      <c r="L111" s="187">
        <f t="shared" si="14"/>
        <v>6.9966E-2</v>
      </c>
      <c r="M111" s="187">
        <f t="shared" si="15"/>
        <v>0.14532035999999998</v>
      </c>
      <c r="N111" s="187">
        <f t="shared" si="16"/>
        <v>0.18297659999999996</v>
      </c>
      <c r="O111" s="187">
        <f t="shared" si="17"/>
        <v>1.2669401744999999E-2</v>
      </c>
      <c r="P111" s="188">
        <f t="shared" si="18"/>
        <v>5.165082E+17</v>
      </c>
      <c r="Q111" s="187">
        <f t="shared" si="19"/>
        <v>882</v>
      </c>
      <c r="R111" s="219">
        <f t="shared" si="20"/>
        <v>1.764</v>
      </c>
      <c r="S111" s="219">
        <f t="shared" si="21"/>
        <v>44.779140000000005</v>
      </c>
      <c r="T111" s="219">
        <f t="shared" si="22"/>
        <v>58.9176</v>
      </c>
      <c r="U111" s="219">
        <f t="shared" si="23"/>
        <v>0.47558401380000004</v>
      </c>
      <c r="V111" s="188">
        <f t="shared" si="24"/>
        <v>9.32274E+16</v>
      </c>
      <c r="X111" s="323">
        <v>3.27E-2</v>
      </c>
      <c r="Y111" s="323">
        <v>2.5000000000000001E-2</v>
      </c>
      <c r="Z111" s="323">
        <v>1.47E-2</v>
      </c>
      <c r="AB111" s="323">
        <v>6</v>
      </c>
      <c r="AC111" s="323">
        <v>4.2</v>
      </c>
      <c r="AD111" s="323">
        <v>2</v>
      </c>
      <c r="AF111" s="323">
        <v>6.51</v>
      </c>
      <c r="AG111" s="323">
        <v>12.97</v>
      </c>
      <c r="AH111" s="323">
        <v>50.77</v>
      </c>
      <c r="AJ111" s="323">
        <v>8.1</v>
      </c>
      <c r="AK111" s="323">
        <v>16.399999999999999</v>
      </c>
      <c r="AL111" s="323">
        <v>66.8</v>
      </c>
      <c r="AN111" s="323">
        <v>0.22320000000000001</v>
      </c>
      <c r="AO111" s="323">
        <v>0.21</v>
      </c>
      <c r="AP111" s="323">
        <v>0.17699999999999999</v>
      </c>
      <c r="AR111" s="323">
        <v>0.76692000000000005</v>
      </c>
      <c r="AS111" s="323">
        <v>0.98852249999999997</v>
      </c>
      <c r="AT111" s="323">
        <v>0.53921090000000005</v>
      </c>
      <c r="AV111" s="190">
        <v>8700000000000000</v>
      </c>
      <c r="AW111" s="190">
        <v>5.64E+16</v>
      </c>
      <c r="AX111" s="190">
        <v>1.057E+17</v>
      </c>
      <c r="AY111" s="203">
        <v>0.2</v>
      </c>
      <c r="BB111" s="204">
        <v>42502</v>
      </c>
      <c r="BC111" s="203" t="s">
        <v>815</v>
      </c>
    </row>
    <row r="112" spans="1:55" x14ac:dyDescent="0.2">
      <c r="A112" s="184" t="s">
        <v>940</v>
      </c>
      <c r="B112" s="184" t="s">
        <v>940</v>
      </c>
      <c r="C112" s="184" t="s">
        <v>934</v>
      </c>
      <c r="D112" s="185" t="s">
        <v>812</v>
      </c>
      <c r="E112" s="184" t="s">
        <v>941</v>
      </c>
      <c r="F112" s="184" t="s">
        <v>942</v>
      </c>
      <c r="G112" s="186">
        <f>IF(ALECA_Input!$F$13="ICAO (3000ft)",'Aircraft Calc'!C$218,'Aircraft Calc'!G$218)</f>
        <v>0</v>
      </c>
      <c r="H112" s="186">
        <f>IF(ALECA_Input!$F$13="ICAO (3000ft)",'Aircraft Calc'!D$218,'Aircraft Calc'!H$218)</f>
        <v>3</v>
      </c>
      <c r="I112" s="186">
        <f>IF(ALECA_Input!$F$13="ICAO (3000ft)",'Aircraft Calc'!E$218,'Aircraft Calc'!I$218)</f>
        <v>5.5</v>
      </c>
      <c r="J112" s="186">
        <v>1</v>
      </c>
      <c r="K112" s="187">
        <f t="shared" si="13"/>
        <v>14.586</v>
      </c>
      <c r="L112" s="187">
        <f t="shared" si="14"/>
        <v>7.5840599999999994E-2</v>
      </c>
      <c r="M112" s="187">
        <f t="shared" si="15"/>
        <v>0.13884881999999998</v>
      </c>
      <c r="N112" s="187">
        <f t="shared" si="16"/>
        <v>0.17444460000000001</v>
      </c>
      <c r="O112" s="187">
        <f t="shared" si="17"/>
        <v>1.247418216E-2</v>
      </c>
      <c r="P112" s="188">
        <f t="shared" si="18"/>
        <v>5.4147852E+17</v>
      </c>
      <c r="Q112" s="187">
        <f t="shared" si="19"/>
        <v>912</v>
      </c>
      <c r="R112" s="219">
        <f t="shared" si="20"/>
        <v>1.9152000000000002</v>
      </c>
      <c r="S112" s="219">
        <f t="shared" si="21"/>
        <v>42.973439999999997</v>
      </c>
      <c r="T112" s="219">
        <f t="shared" si="22"/>
        <v>56.361600000000003</v>
      </c>
      <c r="U112" s="219">
        <f t="shared" si="23"/>
        <v>0.47258964480000004</v>
      </c>
      <c r="V112" s="188">
        <f t="shared" si="24"/>
        <v>9.70368E+16</v>
      </c>
      <c r="X112" s="323">
        <v>3.4099999999999998E-2</v>
      </c>
      <c r="Y112" s="323">
        <v>2.5600000000000001E-2</v>
      </c>
      <c r="Z112" s="323">
        <v>1.52E-2</v>
      </c>
      <c r="AB112" s="323">
        <v>6.3</v>
      </c>
      <c r="AC112" s="323">
        <v>4.4000000000000004</v>
      </c>
      <c r="AD112" s="323">
        <v>2.1</v>
      </c>
      <c r="AF112" s="323">
        <v>6.05</v>
      </c>
      <c r="AG112" s="323">
        <v>12.04</v>
      </c>
      <c r="AH112" s="323">
        <v>47.12</v>
      </c>
      <c r="AJ112" s="323">
        <v>7.5</v>
      </c>
      <c r="AK112" s="323">
        <v>15.2</v>
      </c>
      <c r="AL112" s="323">
        <v>61.8</v>
      </c>
      <c r="AN112" s="323">
        <v>0.22919999999999999</v>
      </c>
      <c r="AO112" s="323">
        <v>0.2142</v>
      </c>
      <c r="AP112" s="323">
        <v>0.17849999999999999</v>
      </c>
      <c r="AR112" s="323">
        <v>0.73795999999999995</v>
      </c>
      <c r="AS112" s="323">
        <v>0.94040999999999997</v>
      </c>
      <c r="AT112" s="323">
        <v>0.51819040000000005</v>
      </c>
      <c r="AV112" s="190">
        <v>8940000000000000</v>
      </c>
      <c r="AW112" s="190">
        <v>5.76E+16</v>
      </c>
      <c r="AX112" s="190">
        <v>1.064E+17</v>
      </c>
      <c r="AY112" s="203">
        <v>0.2</v>
      </c>
      <c r="BB112" s="204">
        <v>42502</v>
      </c>
      <c r="BC112" s="203" t="s">
        <v>815</v>
      </c>
    </row>
    <row r="113" spans="1:55" x14ac:dyDescent="0.2">
      <c r="A113" s="184" t="s">
        <v>943</v>
      </c>
      <c r="B113" s="184" t="s">
        <v>943</v>
      </c>
      <c r="C113" s="184" t="s">
        <v>934</v>
      </c>
      <c r="D113" s="185" t="s">
        <v>812</v>
      </c>
      <c r="E113" s="184" t="s">
        <v>941</v>
      </c>
      <c r="F113" s="184" t="s">
        <v>944</v>
      </c>
      <c r="G113" s="186">
        <f>IF(ALECA_Input!$F$13="ICAO (3000ft)",'Aircraft Calc'!C$218,'Aircraft Calc'!G$218)</f>
        <v>0</v>
      </c>
      <c r="H113" s="186">
        <f>IF(ALECA_Input!$F$13="ICAO (3000ft)",'Aircraft Calc'!D$218,'Aircraft Calc'!H$218)</f>
        <v>3</v>
      </c>
      <c r="I113" s="186">
        <f>IF(ALECA_Input!$F$13="ICAO (3000ft)",'Aircraft Calc'!E$218,'Aircraft Calc'!I$218)</f>
        <v>5.5</v>
      </c>
      <c r="J113" s="186">
        <v>1</v>
      </c>
      <c r="K113" s="187">
        <f t="shared" si="13"/>
        <v>13.68</v>
      </c>
      <c r="L113" s="187">
        <f t="shared" si="14"/>
        <v>6.4871999999999999E-2</v>
      </c>
      <c r="M113" s="187">
        <f t="shared" si="15"/>
        <v>0.15630479999999999</v>
      </c>
      <c r="N113" s="187">
        <f t="shared" si="16"/>
        <v>0.19785600000000003</v>
      </c>
      <c r="O113" s="187">
        <f t="shared" si="17"/>
        <v>1.3108141799999999E-2</v>
      </c>
      <c r="P113" s="188">
        <f t="shared" si="18"/>
        <v>6.504192E+17</v>
      </c>
      <c r="Q113" s="187">
        <f t="shared" si="19"/>
        <v>666</v>
      </c>
      <c r="R113" s="219">
        <f t="shared" si="20"/>
        <v>0.99900000000000011</v>
      </c>
      <c r="S113" s="219">
        <f t="shared" si="21"/>
        <v>61.252020000000002</v>
      </c>
      <c r="T113" s="219">
        <f t="shared" si="22"/>
        <v>81.851400000000012</v>
      </c>
      <c r="U113" s="219">
        <f t="shared" si="23"/>
        <v>0.52341932339999997</v>
      </c>
      <c r="V113" s="188">
        <f t="shared" si="24"/>
        <v>5.87412E+16</v>
      </c>
      <c r="X113" s="323">
        <v>3.2000000000000001E-2</v>
      </c>
      <c r="Y113" s="323">
        <v>2.4E-2</v>
      </c>
      <c r="Z113" s="323">
        <v>1.11E-2</v>
      </c>
      <c r="AB113" s="323">
        <v>5.9</v>
      </c>
      <c r="AC113" s="323">
        <v>3.9</v>
      </c>
      <c r="AD113" s="323">
        <v>1.5</v>
      </c>
      <c r="AF113" s="323">
        <v>6.8</v>
      </c>
      <c r="AG113" s="323">
        <v>14.79</v>
      </c>
      <c r="AH113" s="323">
        <v>91.97</v>
      </c>
      <c r="AJ113" s="323">
        <v>8.5</v>
      </c>
      <c r="AK113" s="323">
        <v>18.8</v>
      </c>
      <c r="AL113" s="323">
        <v>122.9</v>
      </c>
      <c r="AN113" s="323">
        <v>0.21959999999999999</v>
      </c>
      <c r="AO113" s="323">
        <v>0.20300000000000001</v>
      </c>
      <c r="AP113" s="323">
        <v>0.16950000000000001</v>
      </c>
      <c r="AR113" s="323">
        <v>0.78535999999999995</v>
      </c>
      <c r="AS113" s="323">
        <v>1.0838975</v>
      </c>
      <c r="AT113" s="323">
        <v>0.78591489999999997</v>
      </c>
      <c r="AV113" s="190">
        <v>1.062E+16</v>
      </c>
      <c r="AW113" s="190">
        <v>7.44E+16</v>
      </c>
      <c r="AX113" s="190">
        <v>8.82E+16</v>
      </c>
      <c r="AY113" s="203">
        <v>0.2</v>
      </c>
      <c r="BB113" s="204">
        <v>42502</v>
      </c>
      <c r="BC113" s="203" t="s">
        <v>3072</v>
      </c>
    </row>
    <row r="114" spans="1:55" x14ac:dyDescent="0.2">
      <c r="A114" s="184" t="s">
        <v>945</v>
      </c>
      <c r="B114" s="184" t="s">
        <v>945</v>
      </c>
      <c r="C114" s="184" t="s">
        <v>934</v>
      </c>
      <c r="D114" s="185" t="s">
        <v>812</v>
      </c>
      <c r="E114" s="184" t="s">
        <v>946</v>
      </c>
      <c r="F114" s="184" t="s">
        <v>946</v>
      </c>
      <c r="G114" s="186">
        <f>IF(ALECA_Input!$F$13="ICAO (3000ft)",'Aircraft Calc'!C$218,'Aircraft Calc'!G$218)</f>
        <v>0</v>
      </c>
      <c r="H114" s="186">
        <f>IF(ALECA_Input!$F$13="ICAO (3000ft)",'Aircraft Calc'!D$218,'Aircraft Calc'!H$218)</f>
        <v>3</v>
      </c>
      <c r="I114" s="186">
        <f>IF(ALECA_Input!$F$13="ICAO (3000ft)",'Aircraft Calc'!E$218,'Aircraft Calc'!I$218)</f>
        <v>5.5</v>
      </c>
      <c r="J114" s="186">
        <v>1</v>
      </c>
      <c r="K114" s="187">
        <f t="shared" si="13"/>
        <v>18.183</v>
      </c>
      <c r="L114" s="187">
        <f t="shared" si="14"/>
        <v>0.1164042</v>
      </c>
      <c r="M114" s="187">
        <f t="shared" si="15"/>
        <v>0.11518286999999999</v>
      </c>
      <c r="N114" s="187">
        <f t="shared" si="16"/>
        <v>0.1432563</v>
      </c>
      <c r="O114" s="187">
        <f t="shared" si="17"/>
        <v>1.2604567717500001E-2</v>
      </c>
      <c r="P114" s="188">
        <f t="shared" si="18"/>
        <v>7.482024E+17</v>
      </c>
      <c r="Q114" s="187">
        <f t="shared" si="19"/>
        <v>1079.9999999999998</v>
      </c>
      <c r="R114" s="219">
        <f t="shared" si="20"/>
        <v>2.8079999999999998</v>
      </c>
      <c r="S114" s="219">
        <f t="shared" si="21"/>
        <v>34.214399999999998</v>
      </c>
      <c r="T114" s="219">
        <f t="shared" si="22"/>
        <v>44.387999999999998</v>
      </c>
      <c r="U114" s="219">
        <f t="shared" si="23"/>
        <v>0.46647964799999997</v>
      </c>
      <c r="V114" s="188">
        <f t="shared" si="24"/>
        <v>1.2095999999999998E+17</v>
      </c>
      <c r="X114" s="323">
        <v>4.3999999999999997E-2</v>
      </c>
      <c r="Y114" s="323">
        <v>3.1099999999999999E-2</v>
      </c>
      <c r="Z114" s="323">
        <v>1.7999999999999999E-2</v>
      </c>
      <c r="AB114" s="323">
        <v>7.7</v>
      </c>
      <c r="AC114" s="323">
        <v>5.4</v>
      </c>
      <c r="AD114" s="323">
        <v>2.6</v>
      </c>
      <c r="AF114" s="323">
        <v>4.0599999999999996</v>
      </c>
      <c r="AG114" s="323">
        <v>8.09</v>
      </c>
      <c r="AH114" s="323">
        <v>31.68</v>
      </c>
      <c r="AJ114" s="323">
        <v>5</v>
      </c>
      <c r="AK114" s="323">
        <v>10.1</v>
      </c>
      <c r="AL114" s="323">
        <v>41.1</v>
      </c>
      <c r="AN114" s="323">
        <v>0.26879999999999998</v>
      </c>
      <c r="AO114" s="323">
        <v>0.24079999999999999</v>
      </c>
      <c r="AP114" s="323">
        <v>0.1875</v>
      </c>
      <c r="AR114" s="323">
        <v>0.62631999999999999</v>
      </c>
      <c r="AS114" s="323">
        <v>0.74482250000000005</v>
      </c>
      <c r="AT114" s="323">
        <v>0.43192560000000002</v>
      </c>
      <c r="AV114" s="190">
        <v>1.05E+16</v>
      </c>
      <c r="AW114" s="190">
        <v>6.48E+16</v>
      </c>
      <c r="AX114" s="190">
        <v>1.12E+17</v>
      </c>
      <c r="AY114" s="203">
        <v>0.2</v>
      </c>
      <c r="BB114" s="204">
        <v>42502</v>
      </c>
      <c r="BC114" s="203" t="s">
        <v>815</v>
      </c>
    </row>
    <row r="115" spans="1:55" x14ac:dyDescent="0.2">
      <c r="A115" s="184" t="s">
        <v>947</v>
      </c>
      <c r="B115" s="184" t="s">
        <v>947</v>
      </c>
      <c r="C115" s="184" t="s">
        <v>934</v>
      </c>
      <c r="D115" s="185" t="s">
        <v>812</v>
      </c>
      <c r="E115" s="184" t="s">
        <v>946</v>
      </c>
      <c r="F115" s="184" t="s">
        <v>948</v>
      </c>
      <c r="G115" s="186">
        <f>IF(ALECA_Input!$F$13="ICAO (3000ft)",'Aircraft Calc'!C$218,'Aircraft Calc'!G$218)</f>
        <v>0</v>
      </c>
      <c r="H115" s="186">
        <f>IF(ALECA_Input!$F$13="ICAO (3000ft)",'Aircraft Calc'!D$218,'Aircraft Calc'!H$218)</f>
        <v>3</v>
      </c>
      <c r="I115" s="186">
        <f>IF(ALECA_Input!$F$13="ICAO (3000ft)",'Aircraft Calc'!E$218,'Aircraft Calc'!I$218)</f>
        <v>5.5</v>
      </c>
      <c r="J115" s="186">
        <v>1</v>
      </c>
      <c r="K115" s="187">
        <f t="shared" si="13"/>
        <v>16.881</v>
      </c>
      <c r="L115" s="187">
        <f t="shared" si="14"/>
        <v>9.9388799999999999E-2</v>
      </c>
      <c r="M115" s="187">
        <f t="shared" si="15"/>
        <v>0.12835985999999999</v>
      </c>
      <c r="N115" s="187">
        <f t="shared" si="16"/>
        <v>0.16033890000000001</v>
      </c>
      <c r="O115" s="187">
        <f t="shared" si="17"/>
        <v>1.2736353165E-2</v>
      </c>
      <c r="P115" s="188">
        <f t="shared" si="18"/>
        <v>8.8065575999999987E+17</v>
      </c>
      <c r="Q115" s="187">
        <f t="shared" si="19"/>
        <v>804</v>
      </c>
      <c r="R115" s="219">
        <f t="shared" si="20"/>
        <v>1.4472</v>
      </c>
      <c r="S115" s="219">
        <f t="shared" si="21"/>
        <v>49.703280000000007</v>
      </c>
      <c r="T115" s="219">
        <f t="shared" si="22"/>
        <v>65.686800000000005</v>
      </c>
      <c r="U115" s="219">
        <f t="shared" si="23"/>
        <v>0.48592907759999998</v>
      </c>
      <c r="V115" s="188">
        <f t="shared" si="24"/>
        <v>7.26012E+16</v>
      </c>
      <c r="X115" s="323">
        <v>4.0800000000000003E-2</v>
      </c>
      <c r="Y115" s="323">
        <v>2.8899999999999999E-2</v>
      </c>
      <c r="Z115" s="323">
        <v>1.34E-2</v>
      </c>
      <c r="AB115" s="323">
        <v>7.3</v>
      </c>
      <c r="AC115" s="323">
        <v>4.8</v>
      </c>
      <c r="AD115" s="323">
        <v>1.8</v>
      </c>
      <c r="AF115" s="323">
        <v>4.57</v>
      </c>
      <c r="AG115" s="323">
        <v>9.94</v>
      </c>
      <c r="AH115" s="323">
        <v>61.82</v>
      </c>
      <c r="AJ115" s="323">
        <v>5.6</v>
      </c>
      <c r="AK115" s="323">
        <v>12.5</v>
      </c>
      <c r="AL115" s="323">
        <v>81.7</v>
      </c>
      <c r="AN115" s="323">
        <v>0.25559999999999999</v>
      </c>
      <c r="AO115" s="323">
        <v>0.22539999999999999</v>
      </c>
      <c r="AP115" s="323">
        <v>0.17399999999999999</v>
      </c>
      <c r="AR115" s="323">
        <v>0.65188000000000001</v>
      </c>
      <c r="AS115" s="323">
        <v>0.83348500000000003</v>
      </c>
      <c r="AT115" s="323">
        <v>0.60438939999999997</v>
      </c>
      <c r="AV115" s="190">
        <v>1.239E+16</v>
      </c>
      <c r="AW115" s="190">
        <v>8.28E+16</v>
      </c>
      <c r="AX115" s="190">
        <v>9.03E+16</v>
      </c>
      <c r="AY115" s="203">
        <v>0.2</v>
      </c>
      <c r="BB115" s="204">
        <v>42502</v>
      </c>
      <c r="BC115" s="203" t="s">
        <v>3072</v>
      </c>
    </row>
    <row r="116" spans="1:55" x14ac:dyDescent="0.2">
      <c r="A116" s="184" t="s">
        <v>949</v>
      </c>
      <c r="B116" s="184" t="s">
        <v>949</v>
      </c>
      <c r="C116" s="184" t="s">
        <v>934</v>
      </c>
      <c r="D116" s="185" t="s">
        <v>812</v>
      </c>
      <c r="E116" s="184" t="s">
        <v>950</v>
      </c>
      <c r="F116" s="184" t="s">
        <v>951</v>
      </c>
      <c r="G116" s="186">
        <f>IF(ALECA_Input!$F$13="ICAO (3000ft)",'Aircraft Calc'!C$218,'Aircraft Calc'!G$218)</f>
        <v>0</v>
      </c>
      <c r="H116" s="186">
        <f>IF(ALECA_Input!$F$13="ICAO (3000ft)",'Aircraft Calc'!D$218,'Aircraft Calc'!H$218)</f>
        <v>3</v>
      </c>
      <c r="I116" s="186">
        <f>IF(ALECA_Input!$F$13="ICAO (3000ft)",'Aircraft Calc'!E$218,'Aircraft Calc'!I$218)</f>
        <v>5.5</v>
      </c>
      <c r="J116" s="186">
        <v>1</v>
      </c>
      <c r="K116" s="187">
        <f t="shared" si="13"/>
        <v>17.715</v>
      </c>
      <c r="L116" s="187">
        <f t="shared" si="14"/>
        <v>0.11075129999999998</v>
      </c>
      <c r="M116" s="187">
        <f t="shared" si="15"/>
        <v>0.12091923</v>
      </c>
      <c r="N116" s="187">
        <f t="shared" si="16"/>
        <v>0.15053519999999998</v>
      </c>
      <c r="O116" s="187">
        <f t="shared" si="17"/>
        <v>1.27023904275E-2</v>
      </c>
      <c r="P116" s="188">
        <f t="shared" si="18"/>
        <v>9.4237847999999987E+17</v>
      </c>
      <c r="Q116" s="187">
        <f t="shared" si="19"/>
        <v>840</v>
      </c>
      <c r="R116" s="219">
        <f t="shared" si="20"/>
        <v>1.5959999999999999</v>
      </c>
      <c r="S116" s="219">
        <f t="shared" si="21"/>
        <v>46.846800000000002</v>
      </c>
      <c r="T116" s="219">
        <f t="shared" si="22"/>
        <v>61.739999999999995</v>
      </c>
      <c r="U116" s="219">
        <f t="shared" si="23"/>
        <v>0.47759115600000002</v>
      </c>
      <c r="V116" s="188">
        <f t="shared" si="24"/>
        <v>7.644E+16</v>
      </c>
      <c r="X116" s="323">
        <v>4.36E-2</v>
      </c>
      <c r="Y116" s="323">
        <v>2.9899999999999999E-2</v>
      </c>
      <c r="Z116" s="323">
        <v>1.4E-2</v>
      </c>
      <c r="AB116" s="323">
        <v>7.7</v>
      </c>
      <c r="AC116" s="323">
        <v>5.0999999999999996</v>
      </c>
      <c r="AD116" s="323">
        <v>1.9</v>
      </c>
      <c r="AF116" s="323">
        <v>4.13</v>
      </c>
      <c r="AG116" s="323">
        <v>8.9700000000000006</v>
      </c>
      <c r="AH116" s="323">
        <v>55.77</v>
      </c>
      <c r="AJ116" s="323">
        <v>5.0999999999999996</v>
      </c>
      <c r="AK116" s="323">
        <v>11.2</v>
      </c>
      <c r="AL116" s="323">
        <v>73.5</v>
      </c>
      <c r="AN116" s="323">
        <v>0.2676</v>
      </c>
      <c r="AO116" s="323">
        <v>0.2324</v>
      </c>
      <c r="AP116" s="323">
        <v>0.17549999999999999</v>
      </c>
      <c r="AR116" s="323">
        <v>0.63044</v>
      </c>
      <c r="AS116" s="323">
        <v>0.78592249999999997</v>
      </c>
      <c r="AT116" s="323">
        <v>0.56856090000000004</v>
      </c>
      <c r="AV116" s="190">
        <v>1.296E+16</v>
      </c>
      <c r="AW116" s="190">
        <v>8.52E+16</v>
      </c>
      <c r="AX116" s="190">
        <v>9.1E+16</v>
      </c>
      <c r="AY116" s="203">
        <v>0.2</v>
      </c>
      <c r="BB116" s="204">
        <v>42502</v>
      </c>
      <c r="BC116" s="203" t="s">
        <v>3072</v>
      </c>
    </row>
    <row r="117" spans="1:55" x14ac:dyDescent="0.2">
      <c r="A117" s="184" t="s">
        <v>952</v>
      </c>
      <c r="B117" s="184" t="s">
        <v>952</v>
      </c>
      <c r="C117" s="184" t="s">
        <v>934</v>
      </c>
      <c r="D117" s="185" t="s">
        <v>812</v>
      </c>
      <c r="E117" s="184" t="s">
        <v>953</v>
      </c>
      <c r="F117" s="184" t="s">
        <v>953</v>
      </c>
      <c r="G117" s="186">
        <f>IF(ALECA_Input!$F$13="ICAO (3000ft)",'Aircraft Calc'!C$218,'Aircraft Calc'!G$218)</f>
        <v>0</v>
      </c>
      <c r="H117" s="186">
        <f>IF(ALECA_Input!$F$13="ICAO (3000ft)",'Aircraft Calc'!D$218,'Aircraft Calc'!H$218)</f>
        <v>3</v>
      </c>
      <c r="I117" s="186">
        <f>IF(ALECA_Input!$F$13="ICAO (3000ft)",'Aircraft Calc'!E$218,'Aircraft Calc'!I$218)</f>
        <v>5.5</v>
      </c>
      <c r="J117" s="186">
        <v>1</v>
      </c>
      <c r="K117" s="187">
        <f t="shared" si="13"/>
        <v>24.522000000000002</v>
      </c>
      <c r="L117" s="187">
        <f t="shared" si="14"/>
        <v>0.17931600000000003</v>
      </c>
      <c r="M117" s="187">
        <f t="shared" si="15"/>
        <v>0.12434322</v>
      </c>
      <c r="N117" s="187">
        <f t="shared" si="16"/>
        <v>0.15418380000000001</v>
      </c>
      <c r="O117" s="187">
        <f t="shared" si="17"/>
        <v>1.5662241165E-2</v>
      </c>
      <c r="P117" s="188">
        <f t="shared" si="18"/>
        <v>1.83003552E+18</v>
      </c>
      <c r="Q117" s="187">
        <f t="shared" si="19"/>
        <v>1188.0000000000002</v>
      </c>
      <c r="R117" s="219">
        <f t="shared" si="20"/>
        <v>2.7324000000000002</v>
      </c>
      <c r="S117" s="219">
        <f t="shared" si="21"/>
        <v>48.197160000000004</v>
      </c>
      <c r="T117" s="219">
        <f t="shared" si="22"/>
        <v>62.964000000000006</v>
      </c>
      <c r="U117" s="219">
        <f t="shared" si="23"/>
        <v>0.5711629572000001</v>
      </c>
      <c r="V117" s="188">
        <f t="shared" si="24"/>
        <v>1.0893960000000002E+17</v>
      </c>
      <c r="X117" s="323">
        <v>5.96E-2</v>
      </c>
      <c r="Y117" s="323">
        <v>4.1799999999999997E-2</v>
      </c>
      <c r="Z117" s="323">
        <v>1.9800000000000002E-2</v>
      </c>
      <c r="AB117" s="323">
        <v>9</v>
      </c>
      <c r="AC117" s="323">
        <v>6</v>
      </c>
      <c r="AD117" s="323">
        <v>2.2999999999999998</v>
      </c>
      <c r="AF117" s="323">
        <v>3.04</v>
      </c>
      <c r="AG117" s="323">
        <v>6.65</v>
      </c>
      <c r="AH117" s="323">
        <v>40.57</v>
      </c>
      <c r="AJ117" s="323">
        <v>3.7</v>
      </c>
      <c r="AK117" s="323">
        <v>8.3000000000000007</v>
      </c>
      <c r="AL117" s="323">
        <v>53</v>
      </c>
      <c r="AN117" s="323">
        <v>0.30480000000000002</v>
      </c>
      <c r="AO117" s="323">
        <v>0.2576</v>
      </c>
      <c r="AP117" s="323">
        <v>0.18149999999999999</v>
      </c>
      <c r="AR117" s="323">
        <v>0.58479999999999999</v>
      </c>
      <c r="AS117" s="323">
        <v>0.68062250000000002</v>
      </c>
      <c r="AT117" s="323">
        <v>0.48077690000000001</v>
      </c>
      <c r="AV117" s="190">
        <v>2.169E+16</v>
      </c>
      <c r="AW117" s="190">
        <v>1.158E+17</v>
      </c>
      <c r="AX117" s="190">
        <v>9.17E+16</v>
      </c>
      <c r="AY117" s="203">
        <v>0.7</v>
      </c>
      <c r="BB117" s="204">
        <v>42502</v>
      </c>
      <c r="BC117" s="203" t="s">
        <v>3075</v>
      </c>
    </row>
    <row r="118" spans="1:55" x14ac:dyDescent="0.2">
      <c r="A118" s="184" t="s">
        <v>954</v>
      </c>
      <c r="B118" s="184" t="s">
        <v>954</v>
      </c>
      <c r="C118" s="184" t="s">
        <v>934</v>
      </c>
      <c r="D118" s="185" t="s">
        <v>812</v>
      </c>
      <c r="E118" s="184" t="s">
        <v>955</v>
      </c>
      <c r="F118" s="184" t="s">
        <v>955</v>
      </c>
      <c r="G118" s="186">
        <f>IF(ALECA_Input!$F$13="ICAO (3000ft)",'Aircraft Calc'!C$218,'Aircraft Calc'!G$218)</f>
        <v>0</v>
      </c>
      <c r="H118" s="186">
        <f>IF(ALECA_Input!$F$13="ICAO (3000ft)",'Aircraft Calc'!D$218,'Aircraft Calc'!H$218)</f>
        <v>3</v>
      </c>
      <c r="I118" s="186">
        <f>IF(ALECA_Input!$F$13="ICAO (3000ft)",'Aircraft Calc'!E$218,'Aircraft Calc'!I$218)</f>
        <v>5.5</v>
      </c>
      <c r="J118" s="186">
        <v>1</v>
      </c>
      <c r="K118" s="187">
        <f t="shared" si="13"/>
        <v>20.682000000000002</v>
      </c>
      <c r="L118" s="187">
        <f t="shared" si="14"/>
        <v>0.1505898</v>
      </c>
      <c r="M118" s="187">
        <f t="shared" si="15"/>
        <v>0.10239156000000002</v>
      </c>
      <c r="N118" s="187">
        <f t="shared" si="16"/>
        <v>0.12580380000000002</v>
      </c>
      <c r="O118" s="187">
        <f t="shared" si="17"/>
        <v>1.3118723280000001E-2</v>
      </c>
      <c r="P118" s="188">
        <f t="shared" si="18"/>
        <v>9.0108288000000013E+17</v>
      </c>
      <c r="Q118" s="187">
        <f t="shared" si="19"/>
        <v>1200</v>
      </c>
      <c r="R118" s="219">
        <f t="shared" si="20"/>
        <v>3.5999999999999996</v>
      </c>
      <c r="S118" s="219">
        <f t="shared" si="21"/>
        <v>30.047999999999998</v>
      </c>
      <c r="T118" s="219">
        <f t="shared" si="22"/>
        <v>38.76</v>
      </c>
      <c r="U118" s="219">
        <f t="shared" si="23"/>
        <v>0.47814815999999999</v>
      </c>
      <c r="V118" s="188">
        <f t="shared" si="24"/>
        <v>1.3944E+17</v>
      </c>
      <c r="X118" s="323">
        <v>5.2200000000000003E-2</v>
      </c>
      <c r="Y118" s="323">
        <v>3.4200000000000001E-2</v>
      </c>
      <c r="Z118" s="323">
        <v>0.02</v>
      </c>
      <c r="AB118" s="323">
        <v>8.6999999999999993</v>
      </c>
      <c r="AC118" s="323">
        <v>6.1</v>
      </c>
      <c r="AD118" s="323">
        <v>3</v>
      </c>
      <c r="AF118" s="323">
        <v>3.21</v>
      </c>
      <c r="AG118" s="323">
        <v>6.4</v>
      </c>
      <c r="AH118" s="323">
        <v>25.04</v>
      </c>
      <c r="AJ118" s="323">
        <v>3.9</v>
      </c>
      <c r="AK118" s="323">
        <v>7.9</v>
      </c>
      <c r="AL118" s="323">
        <v>32.299999999999997</v>
      </c>
      <c r="AN118" s="323">
        <v>0.29759999999999998</v>
      </c>
      <c r="AO118" s="323">
        <v>0.26179999999999998</v>
      </c>
      <c r="AP118" s="323">
        <v>0.19500000000000001</v>
      </c>
      <c r="AR118" s="323">
        <v>0.59052000000000004</v>
      </c>
      <c r="AS118" s="323">
        <v>0.67076000000000002</v>
      </c>
      <c r="AT118" s="323">
        <v>0.3984568</v>
      </c>
      <c r="AV118" s="190">
        <v>1.158E+16</v>
      </c>
      <c r="AW118" s="190">
        <v>7.02E+16</v>
      </c>
      <c r="AX118" s="190">
        <v>1.162E+17</v>
      </c>
      <c r="AY118" s="203">
        <v>0.2</v>
      </c>
      <c r="BB118" s="204">
        <v>42502</v>
      </c>
      <c r="BC118" s="203" t="s">
        <v>815</v>
      </c>
    </row>
    <row r="119" spans="1:55" x14ac:dyDescent="0.2">
      <c r="A119" s="184" t="s">
        <v>956</v>
      </c>
      <c r="B119" s="184" t="s">
        <v>956</v>
      </c>
      <c r="C119" s="184" t="s">
        <v>934</v>
      </c>
      <c r="D119" s="185" t="s">
        <v>812</v>
      </c>
      <c r="E119" s="184" t="s">
        <v>957</v>
      </c>
      <c r="F119" s="184" t="s">
        <v>957</v>
      </c>
      <c r="G119" s="186">
        <f>IF(ALECA_Input!$F$13="ICAO (3000ft)",'Aircraft Calc'!C$218,'Aircraft Calc'!G$218)</f>
        <v>0</v>
      </c>
      <c r="H119" s="186">
        <f>IF(ALECA_Input!$F$13="ICAO (3000ft)",'Aircraft Calc'!D$218,'Aircraft Calc'!H$218)</f>
        <v>3</v>
      </c>
      <c r="I119" s="186">
        <f>IF(ALECA_Input!$F$13="ICAO (3000ft)",'Aircraft Calc'!E$218,'Aircraft Calc'!I$218)</f>
        <v>5.5</v>
      </c>
      <c r="J119" s="186">
        <v>1</v>
      </c>
      <c r="K119" s="187">
        <f t="shared" si="13"/>
        <v>14.135999999999999</v>
      </c>
      <c r="L119" s="187">
        <f t="shared" si="14"/>
        <v>6.9966E-2</v>
      </c>
      <c r="M119" s="187">
        <f t="shared" si="15"/>
        <v>0.14532035999999998</v>
      </c>
      <c r="N119" s="187">
        <f t="shared" si="16"/>
        <v>0.18297659999999996</v>
      </c>
      <c r="O119" s="187">
        <f t="shared" si="17"/>
        <v>1.2669401744999999E-2</v>
      </c>
      <c r="P119" s="188">
        <f t="shared" si="18"/>
        <v>5.170032E+17</v>
      </c>
      <c r="Q119" s="187">
        <f t="shared" si="19"/>
        <v>882</v>
      </c>
      <c r="R119" s="219">
        <f t="shared" si="20"/>
        <v>1.764</v>
      </c>
      <c r="S119" s="219">
        <f t="shared" si="21"/>
        <v>44.779140000000005</v>
      </c>
      <c r="T119" s="219">
        <f t="shared" si="22"/>
        <v>58.9176</v>
      </c>
      <c r="U119" s="219">
        <f t="shared" si="23"/>
        <v>0.47558401380000004</v>
      </c>
      <c r="V119" s="188">
        <f t="shared" si="24"/>
        <v>9.32274E+16</v>
      </c>
      <c r="X119" s="323">
        <v>3.27E-2</v>
      </c>
      <c r="Y119" s="323">
        <v>2.5000000000000001E-2</v>
      </c>
      <c r="Z119" s="323">
        <v>1.47E-2</v>
      </c>
      <c r="AB119" s="323">
        <v>6</v>
      </c>
      <c r="AC119" s="323">
        <v>4.2</v>
      </c>
      <c r="AD119" s="323">
        <v>2</v>
      </c>
      <c r="AF119" s="323">
        <v>6.51</v>
      </c>
      <c r="AG119" s="323">
        <v>12.97</v>
      </c>
      <c r="AH119" s="323">
        <v>50.77</v>
      </c>
      <c r="AJ119" s="323">
        <v>8.1</v>
      </c>
      <c r="AK119" s="323">
        <v>16.399999999999999</v>
      </c>
      <c r="AL119" s="323">
        <v>66.8</v>
      </c>
      <c r="AN119" s="323">
        <v>0.22320000000000001</v>
      </c>
      <c r="AO119" s="323">
        <v>0.21</v>
      </c>
      <c r="AP119" s="323">
        <v>0.17699999999999999</v>
      </c>
      <c r="AR119" s="323">
        <v>0.76692000000000005</v>
      </c>
      <c r="AS119" s="323">
        <v>0.98852249999999997</v>
      </c>
      <c r="AT119" s="323">
        <v>0.53921090000000005</v>
      </c>
      <c r="AV119" s="190">
        <v>8700000000000000</v>
      </c>
      <c r="AW119" s="190">
        <v>5.646E+16</v>
      </c>
      <c r="AX119" s="190">
        <v>1.057E+17</v>
      </c>
      <c r="AY119" s="203">
        <v>0.2</v>
      </c>
      <c r="BB119" s="204">
        <v>42502</v>
      </c>
      <c r="BC119" s="203" t="s">
        <v>815</v>
      </c>
    </row>
    <row r="120" spans="1:55" x14ac:dyDescent="0.2">
      <c r="A120" s="184" t="s">
        <v>958</v>
      </c>
      <c r="B120" s="184" t="s">
        <v>958</v>
      </c>
      <c r="C120" s="184" t="s">
        <v>934</v>
      </c>
      <c r="D120" s="185" t="s">
        <v>812</v>
      </c>
      <c r="E120" s="184" t="s">
        <v>959</v>
      </c>
      <c r="F120" s="184" t="s">
        <v>959</v>
      </c>
      <c r="G120" s="186">
        <f>IF(ALECA_Input!$F$13="ICAO (3000ft)",'Aircraft Calc'!C$218,'Aircraft Calc'!G$218)</f>
        <v>0</v>
      </c>
      <c r="H120" s="186">
        <f>IF(ALECA_Input!$F$13="ICAO (3000ft)",'Aircraft Calc'!D$218,'Aircraft Calc'!H$218)</f>
        <v>3</v>
      </c>
      <c r="I120" s="186">
        <f>IF(ALECA_Input!$F$13="ICAO (3000ft)",'Aircraft Calc'!E$218,'Aircraft Calc'!I$218)</f>
        <v>5.5</v>
      </c>
      <c r="J120" s="186">
        <v>1</v>
      </c>
      <c r="K120" s="187">
        <f t="shared" si="13"/>
        <v>27.060000000000002</v>
      </c>
      <c r="L120" s="187">
        <f t="shared" si="14"/>
        <v>0.21898799999999999</v>
      </c>
      <c r="M120" s="187">
        <f t="shared" si="15"/>
        <v>0.11216040000000001</v>
      </c>
      <c r="N120" s="187">
        <f t="shared" si="16"/>
        <v>0.137346</v>
      </c>
      <c r="O120" s="187">
        <f t="shared" si="17"/>
        <v>1.64104248E-2</v>
      </c>
      <c r="P120" s="188">
        <f t="shared" si="18"/>
        <v>2.1763764E+18</v>
      </c>
      <c r="Q120" s="187">
        <f t="shared" si="19"/>
        <v>1266</v>
      </c>
      <c r="R120" s="219">
        <f t="shared" si="20"/>
        <v>3.2916000000000003</v>
      </c>
      <c r="S120" s="219">
        <f t="shared" si="21"/>
        <v>41.980559999999997</v>
      </c>
      <c r="T120" s="219">
        <f t="shared" si="22"/>
        <v>54.564600000000006</v>
      </c>
      <c r="U120" s="219">
        <f t="shared" si="23"/>
        <v>0.55647941519999999</v>
      </c>
      <c r="V120" s="188">
        <f t="shared" si="24"/>
        <v>1.187508E+18</v>
      </c>
      <c r="X120" s="323">
        <v>6.6000000000000003E-2</v>
      </c>
      <c r="Y120" s="323">
        <v>4.5999999999999999E-2</v>
      </c>
      <c r="Z120" s="323">
        <v>2.1100000000000001E-2</v>
      </c>
      <c r="AB120" s="323">
        <v>10</v>
      </c>
      <c r="AC120" s="323">
        <v>6.6</v>
      </c>
      <c r="AD120" s="323">
        <v>2.6</v>
      </c>
      <c r="AF120" s="323">
        <v>2.4900000000000002</v>
      </c>
      <c r="AG120" s="323">
        <v>5.44</v>
      </c>
      <c r="AH120" s="323">
        <v>33.159999999999997</v>
      </c>
      <c r="AJ120" s="323">
        <v>3</v>
      </c>
      <c r="AK120" s="323">
        <v>6.7</v>
      </c>
      <c r="AL120" s="323">
        <v>43.1</v>
      </c>
      <c r="AN120" s="323">
        <v>0.33360000000000001</v>
      </c>
      <c r="AO120" s="323">
        <v>0.27860000000000001</v>
      </c>
      <c r="AP120" s="323">
        <v>0.186</v>
      </c>
      <c r="AR120" s="323">
        <v>0.57179999999999997</v>
      </c>
      <c r="AS120" s="323">
        <v>0.63356000000000001</v>
      </c>
      <c r="AT120" s="323">
        <v>0.43955719999999998</v>
      </c>
      <c r="AV120" s="190">
        <v>2.373E+16</v>
      </c>
      <c r="AW120" s="190">
        <v>1.248E+17</v>
      </c>
      <c r="AX120" s="190">
        <v>9.38E+17</v>
      </c>
      <c r="AY120" s="203">
        <v>0.7</v>
      </c>
      <c r="BB120" s="204">
        <v>42502</v>
      </c>
      <c r="BC120" s="203" t="s">
        <v>3075</v>
      </c>
    </row>
    <row r="121" spans="1:55" x14ac:dyDescent="0.2">
      <c r="A121" s="184" t="s">
        <v>960</v>
      </c>
      <c r="B121" s="184" t="s">
        <v>960</v>
      </c>
      <c r="C121" s="184" t="s">
        <v>740</v>
      </c>
      <c r="D121" s="185" t="s">
        <v>812</v>
      </c>
      <c r="E121" s="184" t="s">
        <v>961</v>
      </c>
      <c r="F121" s="184" t="s">
        <v>962</v>
      </c>
      <c r="G121" s="186">
        <f>IF(ALECA_Input!$F$13="ICAO (3000ft)",'Aircraft Calc'!C$218,'Aircraft Calc'!G$218)</f>
        <v>0</v>
      </c>
      <c r="H121" s="186">
        <f>IF(ALECA_Input!$F$13="ICAO (3000ft)",'Aircraft Calc'!D$218,'Aircraft Calc'!H$218)</f>
        <v>3</v>
      </c>
      <c r="I121" s="186">
        <f>IF(ALECA_Input!$F$13="ICAO (3000ft)",'Aircraft Calc'!E$218,'Aircraft Calc'!I$218)</f>
        <v>5.5</v>
      </c>
      <c r="J121" s="186">
        <v>1</v>
      </c>
      <c r="K121" s="187">
        <f t="shared" si="13"/>
        <v>18.009</v>
      </c>
      <c r="L121" s="187">
        <f t="shared" si="14"/>
        <v>0.11447279999999999</v>
      </c>
      <c r="M121" s="187">
        <f t="shared" si="15"/>
        <v>0.11921139</v>
      </c>
      <c r="N121" s="187">
        <f t="shared" si="16"/>
        <v>0.14823810000000001</v>
      </c>
      <c r="O121" s="187">
        <f t="shared" si="17"/>
        <v>1.2736198102499999E-2</v>
      </c>
      <c r="P121" s="188">
        <f t="shared" si="18"/>
        <v>9.6868439999999987E+17</v>
      </c>
      <c r="Q121" s="187">
        <f t="shared" si="19"/>
        <v>852.00000000000011</v>
      </c>
      <c r="R121" s="219">
        <f t="shared" si="20"/>
        <v>1.7040000000000002</v>
      </c>
      <c r="S121" s="219">
        <f t="shared" si="21"/>
        <v>46.127280000000006</v>
      </c>
      <c r="T121" s="219">
        <f t="shared" si="22"/>
        <v>60.747600000000006</v>
      </c>
      <c r="U121" s="219">
        <f t="shared" si="23"/>
        <v>0.47712323760000008</v>
      </c>
      <c r="V121" s="188">
        <f t="shared" si="24"/>
        <v>7.8128400000000016E+16</v>
      </c>
      <c r="X121" s="323">
        <v>4.4499999999999998E-2</v>
      </c>
      <c r="Y121" s="323">
        <v>3.0300000000000001E-2</v>
      </c>
      <c r="Z121" s="323">
        <v>1.4200000000000001E-2</v>
      </c>
      <c r="AB121" s="323">
        <v>7.8</v>
      </c>
      <c r="AC121" s="323">
        <v>5.2</v>
      </c>
      <c r="AD121" s="323">
        <v>2</v>
      </c>
      <c r="AF121" s="323">
        <v>4.01</v>
      </c>
      <c r="AG121" s="323">
        <v>8.7100000000000009</v>
      </c>
      <c r="AH121" s="323">
        <v>54.14</v>
      </c>
      <c r="AJ121" s="323">
        <v>4.9000000000000004</v>
      </c>
      <c r="AK121" s="323">
        <v>10.9</v>
      </c>
      <c r="AL121" s="323">
        <v>71.3</v>
      </c>
      <c r="AN121" s="323">
        <v>0.27</v>
      </c>
      <c r="AO121" s="323">
        <v>0.23519999999999999</v>
      </c>
      <c r="AP121" s="323">
        <v>0.17699999999999999</v>
      </c>
      <c r="AR121" s="323">
        <v>0.62372000000000005</v>
      </c>
      <c r="AS121" s="323">
        <v>0.77409749999999999</v>
      </c>
      <c r="AT121" s="323">
        <v>0.56000380000000005</v>
      </c>
      <c r="AV121" s="190">
        <v>1.308E+16</v>
      </c>
      <c r="AW121" s="190">
        <v>8.64E+16</v>
      </c>
      <c r="AX121" s="190">
        <v>9.17E+16</v>
      </c>
      <c r="AY121" s="203">
        <v>0.2</v>
      </c>
      <c r="BB121" s="204">
        <v>42502</v>
      </c>
      <c r="BC121" s="203" t="s">
        <v>3072</v>
      </c>
    </row>
    <row r="122" spans="1:55" x14ac:dyDescent="0.2">
      <c r="A122" s="184" t="s">
        <v>963</v>
      </c>
      <c r="B122" s="184" t="s">
        <v>963</v>
      </c>
      <c r="C122" s="184" t="s">
        <v>740</v>
      </c>
      <c r="D122" s="185" t="s">
        <v>812</v>
      </c>
      <c r="E122" s="184" t="s">
        <v>964</v>
      </c>
      <c r="F122" s="184" t="s">
        <v>964</v>
      </c>
      <c r="G122" s="186">
        <f>IF(ALECA_Input!$F$13="ICAO (3000ft)",'Aircraft Calc'!C$218,'Aircraft Calc'!G$218)</f>
        <v>0</v>
      </c>
      <c r="H122" s="186">
        <f>IF(ALECA_Input!$F$13="ICAO (3000ft)",'Aircraft Calc'!D$218,'Aircraft Calc'!H$218)</f>
        <v>3</v>
      </c>
      <c r="I122" s="186">
        <f>IF(ALECA_Input!$F$13="ICAO (3000ft)",'Aircraft Calc'!E$218,'Aircraft Calc'!I$218)</f>
        <v>5.5</v>
      </c>
      <c r="J122" s="186">
        <v>1</v>
      </c>
      <c r="K122" s="187">
        <f t="shared" si="13"/>
        <v>19.640999999999998</v>
      </c>
      <c r="L122" s="187">
        <f t="shared" si="14"/>
        <v>0.13587780000000002</v>
      </c>
      <c r="M122" s="187">
        <f t="shared" si="15"/>
        <v>0.10702724999999999</v>
      </c>
      <c r="N122" s="187">
        <f t="shared" si="16"/>
        <v>0.13222709999999999</v>
      </c>
      <c r="O122" s="187">
        <f t="shared" si="17"/>
        <v>1.2852444052499998E-2</v>
      </c>
      <c r="P122" s="188">
        <f t="shared" si="18"/>
        <v>8.4038472E+17</v>
      </c>
      <c r="Q122" s="187">
        <f t="shared" si="19"/>
        <v>1152</v>
      </c>
      <c r="R122" s="219">
        <f t="shared" si="20"/>
        <v>3.2255999999999996</v>
      </c>
      <c r="S122" s="219">
        <f t="shared" si="21"/>
        <v>31.63392</v>
      </c>
      <c r="T122" s="219">
        <f t="shared" si="22"/>
        <v>40.895999999999994</v>
      </c>
      <c r="U122" s="219">
        <f t="shared" si="23"/>
        <v>0.47276720639999992</v>
      </c>
      <c r="V122" s="188">
        <f t="shared" si="24"/>
        <v>1.3144319999999998E+17</v>
      </c>
      <c r="X122" s="323">
        <v>4.8800000000000003E-2</v>
      </c>
      <c r="Y122" s="323">
        <v>3.2899999999999999E-2</v>
      </c>
      <c r="Z122" s="323">
        <v>1.9199999999999998E-2</v>
      </c>
      <c r="AB122" s="323">
        <v>8.3000000000000007</v>
      </c>
      <c r="AC122" s="323">
        <v>5.8</v>
      </c>
      <c r="AD122" s="323">
        <v>2.8</v>
      </c>
      <c r="AF122" s="323">
        <v>3.52</v>
      </c>
      <c r="AG122" s="323">
        <v>7.01</v>
      </c>
      <c r="AH122" s="323">
        <v>27.46</v>
      </c>
      <c r="AJ122" s="323">
        <v>4.3</v>
      </c>
      <c r="AK122" s="323">
        <v>8.6999999999999993</v>
      </c>
      <c r="AL122" s="323">
        <v>35.5</v>
      </c>
      <c r="AN122" s="323">
        <v>0.28560000000000002</v>
      </c>
      <c r="AO122" s="323">
        <v>0.25340000000000001</v>
      </c>
      <c r="AP122" s="323">
        <v>0.192</v>
      </c>
      <c r="AR122" s="323">
        <v>0.60207999999999995</v>
      </c>
      <c r="AS122" s="323">
        <v>0.69667250000000003</v>
      </c>
      <c r="AT122" s="323">
        <v>0.41038819999999998</v>
      </c>
      <c r="AV122" s="190">
        <v>1.113E+16</v>
      </c>
      <c r="AW122" s="190">
        <v>6.84E+16</v>
      </c>
      <c r="AX122" s="190">
        <v>1.141E+17</v>
      </c>
      <c r="AY122" s="203">
        <v>0.2</v>
      </c>
      <c r="BB122" s="204">
        <v>42502</v>
      </c>
      <c r="BC122" s="203" t="s">
        <v>815</v>
      </c>
    </row>
    <row r="123" spans="1:55" x14ac:dyDescent="0.2">
      <c r="A123" s="184" t="s">
        <v>965</v>
      </c>
      <c r="B123" s="184" t="s">
        <v>965</v>
      </c>
      <c r="C123" s="184" t="s">
        <v>740</v>
      </c>
      <c r="D123" s="185" t="s">
        <v>812</v>
      </c>
      <c r="E123" s="184" t="s">
        <v>966</v>
      </c>
      <c r="F123" s="184" t="s">
        <v>967</v>
      </c>
      <c r="G123" s="186">
        <f>IF(ALECA_Input!$F$13="ICAO (3000ft)",'Aircraft Calc'!C$218,'Aircraft Calc'!G$218)</f>
        <v>0</v>
      </c>
      <c r="H123" s="186">
        <f>IF(ALECA_Input!$F$13="ICAO (3000ft)",'Aircraft Calc'!D$218,'Aircraft Calc'!H$218)</f>
        <v>3</v>
      </c>
      <c r="I123" s="186">
        <f>IF(ALECA_Input!$F$13="ICAO (3000ft)",'Aircraft Calc'!E$218,'Aircraft Calc'!I$218)</f>
        <v>5.5</v>
      </c>
      <c r="J123" s="186">
        <v>1</v>
      </c>
      <c r="K123" s="187">
        <f t="shared" si="13"/>
        <v>34.055999999999997</v>
      </c>
      <c r="L123" s="187">
        <f t="shared" si="14"/>
        <v>0.35006399999999999</v>
      </c>
      <c r="M123" s="187">
        <f t="shared" si="15"/>
        <v>8.7175439999999993E-2</v>
      </c>
      <c r="N123" s="187">
        <f t="shared" si="16"/>
        <v>0.10612799999999999</v>
      </c>
      <c r="O123" s="187">
        <f t="shared" si="17"/>
        <v>1.9620912959999997E-2</v>
      </c>
      <c r="P123" s="188">
        <f t="shared" si="18"/>
        <v>1.99063656E+18</v>
      </c>
      <c r="Q123" s="187">
        <f t="shared" si="19"/>
        <v>1854</v>
      </c>
      <c r="R123" s="219">
        <f t="shared" si="20"/>
        <v>7.7868000000000004</v>
      </c>
      <c r="S123" s="219">
        <f t="shared" si="21"/>
        <v>23.80536</v>
      </c>
      <c r="T123" s="219">
        <f t="shared" si="22"/>
        <v>30.220200000000002</v>
      </c>
      <c r="U123" s="219">
        <f t="shared" si="23"/>
        <v>0.65480091120000006</v>
      </c>
      <c r="V123" s="188">
        <f t="shared" si="24"/>
        <v>2.478798E+17</v>
      </c>
      <c r="X123" s="323">
        <v>8.3599999999999994E-2</v>
      </c>
      <c r="Y123" s="323">
        <v>5.7599999999999998E-2</v>
      </c>
      <c r="Z123" s="323">
        <v>3.09E-2</v>
      </c>
      <c r="AB123" s="323">
        <v>12.4</v>
      </c>
      <c r="AC123" s="323">
        <v>8.6</v>
      </c>
      <c r="AD123" s="323">
        <v>4.2</v>
      </c>
      <c r="AF123" s="323">
        <v>1.65</v>
      </c>
      <c r="AG123" s="323">
        <v>3.28</v>
      </c>
      <c r="AH123" s="323">
        <v>12.84</v>
      </c>
      <c r="AJ123" s="323">
        <v>2</v>
      </c>
      <c r="AK123" s="323">
        <v>4</v>
      </c>
      <c r="AL123" s="323">
        <v>16.3</v>
      </c>
      <c r="AN123" s="323">
        <v>0.39960000000000001</v>
      </c>
      <c r="AO123" s="323">
        <v>0.34439999999999998</v>
      </c>
      <c r="AP123" s="323">
        <v>0.22500000000000001</v>
      </c>
      <c r="AR123" s="323">
        <v>0.57396000000000003</v>
      </c>
      <c r="AS123" s="323">
        <v>0.57786000000000004</v>
      </c>
      <c r="AT123" s="323">
        <v>0.35318280000000002</v>
      </c>
      <c r="AV123" s="190">
        <v>1.557E+16</v>
      </c>
      <c r="AW123" s="190">
        <v>9.24E+16</v>
      </c>
      <c r="AX123" s="190">
        <v>1.337E+17</v>
      </c>
      <c r="AY123" s="203">
        <v>0.7</v>
      </c>
      <c r="BB123" s="204">
        <v>42502</v>
      </c>
      <c r="BC123" s="203" t="s">
        <v>815</v>
      </c>
    </row>
    <row r="124" spans="1:55" x14ac:dyDescent="0.2">
      <c r="A124" s="184" t="s">
        <v>968</v>
      </c>
      <c r="B124" s="184" t="s">
        <v>968</v>
      </c>
      <c r="C124" s="184" t="s">
        <v>740</v>
      </c>
      <c r="D124" s="185" t="s">
        <v>812</v>
      </c>
      <c r="E124" s="184" t="s">
        <v>969</v>
      </c>
      <c r="F124" s="184" t="s">
        <v>969</v>
      </c>
      <c r="G124" s="186">
        <f>IF(ALECA_Input!$F$13="ICAO (3000ft)",'Aircraft Calc'!C$218,'Aircraft Calc'!G$218)</f>
        <v>0</v>
      </c>
      <c r="H124" s="186">
        <f>IF(ALECA_Input!$F$13="ICAO (3000ft)",'Aircraft Calc'!D$218,'Aircraft Calc'!H$218)</f>
        <v>3</v>
      </c>
      <c r="I124" s="186">
        <f>IF(ALECA_Input!$F$13="ICAO (3000ft)",'Aircraft Calc'!E$218,'Aircraft Calc'!I$218)</f>
        <v>5.5</v>
      </c>
      <c r="J124" s="186">
        <v>1</v>
      </c>
      <c r="K124" s="187">
        <f t="shared" si="13"/>
        <v>28.665000000000003</v>
      </c>
      <c r="L124" s="187">
        <f t="shared" si="14"/>
        <v>0.24584400000000006</v>
      </c>
      <c r="M124" s="187">
        <f t="shared" si="15"/>
        <v>0.10317330000000001</v>
      </c>
      <c r="N124" s="187">
        <f t="shared" si="16"/>
        <v>0.126</v>
      </c>
      <c r="O124" s="187">
        <f t="shared" si="17"/>
        <v>1.6899371775000002E-2</v>
      </c>
      <c r="P124" s="188">
        <f t="shared" si="18"/>
        <v>1.4794191E+18</v>
      </c>
      <c r="Q124" s="187">
        <f t="shared" si="19"/>
        <v>1602</v>
      </c>
      <c r="R124" s="219">
        <f t="shared" si="20"/>
        <v>5.6070000000000002</v>
      </c>
      <c r="S124" s="219">
        <f t="shared" si="21"/>
        <v>28.7559</v>
      </c>
      <c r="T124" s="219">
        <f t="shared" si="22"/>
        <v>36.6858</v>
      </c>
      <c r="U124" s="219">
        <f t="shared" si="23"/>
        <v>0.58747182300000012</v>
      </c>
      <c r="V124" s="188">
        <f t="shared" si="24"/>
        <v>1.973664E+17</v>
      </c>
      <c r="X124" s="323">
        <v>6.8500000000000005E-2</v>
      </c>
      <c r="Y124" s="323">
        <v>4.9500000000000002E-2</v>
      </c>
      <c r="Z124" s="323">
        <v>2.6700000000000002E-2</v>
      </c>
      <c r="AB124" s="323">
        <v>10.4</v>
      </c>
      <c r="AC124" s="323">
        <v>7.2</v>
      </c>
      <c r="AD124" s="323">
        <v>3.5</v>
      </c>
      <c r="AF124" s="323">
        <v>2.2999999999999998</v>
      </c>
      <c r="AG124" s="323">
        <v>4.58</v>
      </c>
      <c r="AH124" s="323">
        <v>17.95</v>
      </c>
      <c r="AJ124" s="323">
        <v>2.8</v>
      </c>
      <c r="AK124" s="323">
        <v>5.6</v>
      </c>
      <c r="AL124" s="323">
        <v>22.9</v>
      </c>
      <c r="AN124" s="323">
        <v>0.34560000000000002</v>
      </c>
      <c r="AO124" s="323">
        <v>0.29820000000000002</v>
      </c>
      <c r="AP124" s="323">
        <v>0.20699999999999999</v>
      </c>
      <c r="AR124" s="323">
        <v>0.56935999999999998</v>
      </c>
      <c r="AS124" s="323">
        <v>0.60478500000000002</v>
      </c>
      <c r="AT124" s="323">
        <v>0.36671150000000002</v>
      </c>
      <c r="AV124" s="190">
        <v>1.347E+16</v>
      </c>
      <c r="AW124" s="190">
        <v>8.04E+16</v>
      </c>
      <c r="AX124" s="190">
        <v>1.232E+17</v>
      </c>
      <c r="AY124" s="203">
        <v>0.7</v>
      </c>
      <c r="BB124" s="204">
        <v>42502</v>
      </c>
      <c r="BC124" s="203" t="s">
        <v>815</v>
      </c>
    </row>
    <row r="125" spans="1:55" x14ac:dyDescent="0.2">
      <c r="A125" s="184" t="s">
        <v>970</v>
      </c>
      <c r="B125" s="184" t="s">
        <v>970</v>
      </c>
      <c r="C125" s="184" t="s">
        <v>740</v>
      </c>
      <c r="D125" s="185" t="s">
        <v>812</v>
      </c>
      <c r="E125" s="184" t="s">
        <v>971</v>
      </c>
      <c r="F125" s="184" t="s">
        <v>971</v>
      </c>
      <c r="G125" s="186">
        <f>IF(ALECA_Input!$F$13="ICAO (3000ft)",'Aircraft Calc'!C$218,'Aircraft Calc'!G$218)</f>
        <v>0</v>
      </c>
      <c r="H125" s="186">
        <f>IF(ALECA_Input!$F$13="ICAO (3000ft)",'Aircraft Calc'!D$218,'Aircraft Calc'!H$218)</f>
        <v>3</v>
      </c>
      <c r="I125" s="186">
        <f>IF(ALECA_Input!$F$13="ICAO (3000ft)",'Aircraft Calc'!E$218,'Aircraft Calc'!I$218)</f>
        <v>5.5</v>
      </c>
      <c r="J125" s="186">
        <v>1</v>
      </c>
      <c r="K125" s="187">
        <f t="shared" si="13"/>
        <v>65.625</v>
      </c>
      <c r="L125" s="187">
        <f t="shared" si="14"/>
        <v>1.1305913999999999</v>
      </c>
      <c r="M125" s="187">
        <f t="shared" si="15"/>
        <v>6.4682999999999991E-2</v>
      </c>
      <c r="N125" s="187">
        <f t="shared" si="16"/>
        <v>7.3944599999999999E-2</v>
      </c>
      <c r="O125" s="187">
        <f t="shared" si="17"/>
        <v>3.8276762054999997E-2</v>
      </c>
      <c r="P125" s="188">
        <f t="shared" si="18"/>
        <v>8.061722999999999E+18</v>
      </c>
      <c r="Q125" s="187">
        <f t="shared" si="19"/>
        <v>2250</v>
      </c>
      <c r="R125" s="219">
        <f t="shared" si="20"/>
        <v>11.924999999999999</v>
      </c>
      <c r="S125" s="219">
        <f t="shared" si="21"/>
        <v>18.945</v>
      </c>
      <c r="T125" s="219">
        <f t="shared" si="22"/>
        <v>23.625</v>
      </c>
      <c r="U125" s="219">
        <f t="shared" si="23"/>
        <v>0.80080065</v>
      </c>
      <c r="V125" s="188">
        <f t="shared" si="24"/>
        <v>2.88225E+17</v>
      </c>
      <c r="X125" s="323">
        <v>0.19170000000000001</v>
      </c>
      <c r="Y125" s="323">
        <v>9.4299999999999995E-2</v>
      </c>
      <c r="Z125" s="323">
        <v>3.7499999999999999E-2</v>
      </c>
      <c r="AB125" s="323">
        <v>20.5</v>
      </c>
      <c r="AC125" s="323">
        <v>13.6</v>
      </c>
      <c r="AD125" s="323">
        <v>5.3</v>
      </c>
      <c r="AF125" s="323">
        <v>0.63</v>
      </c>
      <c r="AG125" s="323">
        <v>1.38</v>
      </c>
      <c r="AH125" s="323">
        <v>8.42</v>
      </c>
      <c r="AJ125" s="323">
        <v>0.7</v>
      </c>
      <c r="AK125" s="323">
        <v>1.6</v>
      </c>
      <c r="AL125" s="323">
        <v>10.5</v>
      </c>
      <c r="AN125" s="323">
        <v>0.44879999999999998</v>
      </c>
      <c r="AO125" s="323">
        <v>0.49840000000000001</v>
      </c>
      <c r="AP125" s="323">
        <v>0.255</v>
      </c>
      <c r="AR125" s="323">
        <v>0.54564000000000001</v>
      </c>
      <c r="AS125" s="323">
        <v>0.62498500000000001</v>
      </c>
      <c r="AT125" s="323">
        <v>0.35591139999999999</v>
      </c>
      <c r="AV125" s="190">
        <v>3.18E+16</v>
      </c>
      <c r="AW125" s="190">
        <v>2.238E+17</v>
      </c>
      <c r="AX125" s="190">
        <v>1.281E+17</v>
      </c>
      <c r="AY125" s="203">
        <v>0.7</v>
      </c>
      <c r="BB125" s="204">
        <v>42502</v>
      </c>
      <c r="BC125" s="203" t="s">
        <v>3075</v>
      </c>
    </row>
    <row r="126" spans="1:55" x14ac:dyDescent="0.2">
      <c r="A126" s="184" t="s">
        <v>972</v>
      </c>
      <c r="B126" s="184" t="s">
        <v>972</v>
      </c>
      <c r="C126" s="184" t="s">
        <v>740</v>
      </c>
      <c r="D126" s="185" t="s">
        <v>812</v>
      </c>
      <c r="E126" s="184" t="s">
        <v>973</v>
      </c>
      <c r="F126" s="184" t="s">
        <v>973</v>
      </c>
      <c r="G126" s="186">
        <f>IF(ALECA_Input!$F$13="ICAO (3000ft)",'Aircraft Calc'!C$218,'Aircraft Calc'!G$218)</f>
        <v>0</v>
      </c>
      <c r="H126" s="186">
        <f>IF(ALECA_Input!$F$13="ICAO (3000ft)",'Aircraft Calc'!D$218,'Aircraft Calc'!H$218)</f>
        <v>3</v>
      </c>
      <c r="I126" s="186">
        <f>IF(ALECA_Input!$F$13="ICAO (3000ft)",'Aircraft Calc'!E$218,'Aircraft Calc'!I$218)</f>
        <v>5.5</v>
      </c>
      <c r="J126" s="186">
        <v>1</v>
      </c>
      <c r="K126" s="187">
        <f t="shared" si="13"/>
        <v>19.89</v>
      </c>
      <c r="L126" s="187">
        <f t="shared" si="14"/>
        <v>0.13985100000000003</v>
      </c>
      <c r="M126" s="187">
        <f t="shared" si="15"/>
        <v>0.10513980000000001</v>
      </c>
      <c r="N126" s="187">
        <f t="shared" si="16"/>
        <v>0.13036500000000001</v>
      </c>
      <c r="O126" s="187">
        <f t="shared" si="17"/>
        <v>1.2890428650000001E-2</v>
      </c>
      <c r="P126" s="188">
        <f t="shared" si="18"/>
        <v>8.5293E+17</v>
      </c>
      <c r="Q126" s="187">
        <f t="shared" si="19"/>
        <v>1140</v>
      </c>
      <c r="R126" s="219">
        <f t="shared" si="20"/>
        <v>3.3059999999999996</v>
      </c>
      <c r="S126" s="219">
        <f t="shared" si="21"/>
        <v>30.460799999999995</v>
      </c>
      <c r="T126" s="219">
        <f t="shared" si="22"/>
        <v>39.33</v>
      </c>
      <c r="U126" s="219">
        <f t="shared" si="23"/>
        <v>0.46434753599999995</v>
      </c>
      <c r="V126" s="188">
        <f t="shared" si="24"/>
        <v>1.3166999999999998E+17</v>
      </c>
      <c r="X126" s="323">
        <v>0.05</v>
      </c>
      <c r="Y126" s="323">
        <v>3.3000000000000002E-2</v>
      </c>
      <c r="Z126" s="323">
        <v>1.9E-2</v>
      </c>
      <c r="AB126" s="323">
        <v>8.4</v>
      </c>
      <c r="AC126" s="323">
        <v>5.9</v>
      </c>
      <c r="AD126" s="323">
        <v>2.9</v>
      </c>
      <c r="AF126" s="323">
        <v>3.43</v>
      </c>
      <c r="AG126" s="323">
        <v>6.82</v>
      </c>
      <c r="AH126" s="323">
        <v>26.72</v>
      </c>
      <c r="AJ126" s="323">
        <v>4.2</v>
      </c>
      <c r="AK126" s="323">
        <v>8.5</v>
      </c>
      <c r="AL126" s="323">
        <v>34.5</v>
      </c>
      <c r="AN126" s="323">
        <v>0.28920000000000001</v>
      </c>
      <c r="AO126" s="323">
        <v>0.25619999999999998</v>
      </c>
      <c r="AP126" s="323">
        <v>0.19350000000000001</v>
      </c>
      <c r="AR126" s="323">
        <v>0.59884000000000004</v>
      </c>
      <c r="AS126" s="323">
        <v>0.68878499999999998</v>
      </c>
      <c r="AT126" s="323">
        <v>0.40732239999999997</v>
      </c>
      <c r="AV126" s="190">
        <v>1.128E+16</v>
      </c>
      <c r="AW126" s="190">
        <v>6.9E+16</v>
      </c>
      <c r="AX126" s="190">
        <v>1.155E+17</v>
      </c>
      <c r="AY126" s="203">
        <v>0.2</v>
      </c>
      <c r="BB126" s="204">
        <v>42502</v>
      </c>
      <c r="BC126" s="203" t="s">
        <v>815</v>
      </c>
    </row>
    <row r="127" spans="1:55" x14ac:dyDescent="0.2">
      <c r="A127" s="184" t="s">
        <v>974</v>
      </c>
      <c r="B127" s="184" t="s">
        <v>974</v>
      </c>
      <c r="C127" s="184" t="s">
        <v>715</v>
      </c>
      <c r="D127" s="185" t="s">
        <v>812</v>
      </c>
      <c r="E127" s="184" t="s">
        <v>975</v>
      </c>
      <c r="F127" s="184" t="s">
        <v>976</v>
      </c>
      <c r="G127" s="186">
        <f>IF(ALECA_Input!$F$13="ICAO (3000ft)",'Aircraft Calc'!C$218,'Aircraft Calc'!G$218)</f>
        <v>0</v>
      </c>
      <c r="H127" s="186">
        <f>IF(ALECA_Input!$F$13="ICAO (3000ft)",'Aircraft Calc'!D$218,'Aircraft Calc'!H$218)</f>
        <v>3</v>
      </c>
      <c r="I127" s="186">
        <f>IF(ALECA_Input!$F$13="ICAO (3000ft)",'Aircraft Calc'!E$218,'Aircraft Calc'!I$218)</f>
        <v>5.5</v>
      </c>
      <c r="J127" s="186">
        <v>1</v>
      </c>
      <c r="K127" s="187">
        <f t="shared" si="13"/>
        <v>12.183</v>
      </c>
      <c r="L127" s="187">
        <f t="shared" si="14"/>
        <v>4.8741299999999994E-2</v>
      </c>
      <c r="M127" s="187">
        <f t="shared" si="15"/>
        <v>0.19132053000000002</v>
      </c>
      <c r="N127" s="187">
        <f t="shared" si="16"/>
        <v>0.24372509999999997</v>
      </c>
      <c r="O127" s="187">
        <f t="shared" si="17"/>
        <v>1.4623501117499998E-2</v>
      </c>
      <c r="P127" s="188">
        <f t="shared" si="18"/>
        <v>6.7648014E+17</v>
      </c>
      <c r="Q127" s="187">
        <f t="shared" si="19"/>
        <v>582.00000000000011</v>
      </c>
      <c r="R127" s="219">
        <f t="shared" si="20"/>
        <v>0.75660000000000016</v>
      </c>
      <c r="S127" s="219">
        <f t="shared" si="21"/>
        <v>71.79552000000001</v>
      </c>
      <c r="T127" s="219">
        <f t="shared" si="22"/>
        <v>96.786600000000021</v>
      </c>
      <c r="U127" s="219">
        <f t="shared" si="23"/>
        <v>0.56837607840000004</v>
      </c>
      <c r="V127" s="188">
        <f t="shared" si="24"/>
        <v>4.8888000000000008E+16</v>
      </c>
      <c r="X127" s="323">
        <v>2.7900000000000001E-2</v>
      </c>
      <c r="Y127" s="323">
        <v>2.1700000000000001E-2</v>
      </c>
      <c r="Z127" s="323">
        <v>9.7000000000000003E-3</v>
      </c>
      <c r="AB127" s="323">
        <v>5</v>
      </c>
      <c r="AC127" s="323">
        <v>3.3</v>
      </c>
      <c r="AD127" s="323">
        <v>1.3</v>
      </c>
      <c r="AF127" s="323">
        <v>9.25</v>
      </c>
      <c r="AG127" s="323">
        <v>20.23</v>
      </c>
      <c r="AH127" s="323">
        <v>123.36</v>
      </c>
      <c r="AJ127" s="323">
        <v>11.6</v>
      </c>
      <c r="AK127" s="323">
        <v>25.9</v>
      </c>
      <c r="AL127" s="323">
        <v>166.3</v>
      </c>
      <c r="AN127" s="323">
        <v>0.19800000000000001</v>
      </c>
      <c r="AO127" s="323">
        <v>0.189</v>
      </c>
      <c r="AP127" s="323">
        <v>0.16650000000000001</v>
      </c>
      <c r="AR127" s="323">
        <v>0.94996000000000003</v>
      </c>
      <c r="AS127" s="323">
        <v>1.3758975</v>
      </c>
      <c r="AT127" s="323">
        <v>0.97659119999999999</v>
      </c>
      <c r="AV127" s="190">
        <v>1.407E+16</v>
      </c>
      <c r="AW127" s="190">
        <v>8.46E+16</v>
      </c>
      <c r="AX127" s="190">
        <v>8.4E+16</v>
      </c>
      <c r="AY127" s="203">
        <v>0.2</v>
      </c>
      <c r="BB127" s="204">
        <v>42502</v>
      </c>
      <c r="BC127" s="203" t="s">
        <v>3076</v>
      </c>
    </row>
    <row r="128" spans="1:55" x14ac:dyDescent="0.2">
      <c r="A128" s="184" t="s">
        <v>977</v>
      </c>
      <c r="B128" s="184" t="s">
        <v>977</v>
      </c>
      <c r="C128" s="184" t="s">
        <v>715</v>
      </c>
      <c r="D128" s="185" t="s">
        <v>812</v>
      </c>
      <c r="E128" s="184" t="s">
        <v>978</v>
      </c>
      <c r="F128" s="184" t="s">
        <v>979</v>
      </c>
      <c r="G128" s="186">
        <f>IF(ALECA_Input!$F$13="ICAO (3000ft)",'Aircraft Calc'!C$218,'Aircraft Calc'!G$218)</f>
        <v>0</v>
      </c>
      <c r="H128" s="186">
        <f>IF(ALECA_Input!$F$13="ICAO (3000ft)",'Aircraft Calc'!D$218,'Aircraft Calc'!H$218)</f>
        <v>3</v>
      </c>
      <c r="I128" s="186">
        <f>IF(ALECA_Input!$F$13="ICAO (3000ft)",'Aircraft Calc'!E$218,'Aircraft Calc'!I$218)</f>
        <v>5.5</v>
      </c>
      <c r="J128" s="186">
        <v>1</v>
      </c>
      <c r="K128" s="187">
        <f t="shared" si="13"/>
        <v>28.488</v>
      </c>
      <c r="L128" s="187">
        <f t="shared" si="14"/>
        <v>0.24471120000000002</v>
      </c>
      <c r="M128" s="187">
        <f t="shared" si="15"/>
        <v>0.10507614</v>
      </c>
      <c r="N128" s="187">
        <f t="shared" si="16"/>
        <v>0.12940740000000001</v>
      </c>
      <c r="O128" s="187">
        <f t="shared" si="17"/>
        <v>1.6912621544999999E-2</v>
      </c>
      <c r="P128" s="188">
        <f t="shared" si="18"/>
        <v>2.39530644E+18</v>
      </c>
      <c r="Q128" s="187">
        <f t="shared" si="19"/>
        <v>1319.9999999999998</v>
      </c>
      <c r="R128" s="219">
        <f t="shared" si="20"/>
        <v>3.5639999999999996</v>
      </c>
      <c r="S128" s="219">
        <f t="shared" si="21"/>
        <v>39.058799999999998</v>
      </c>
      <c r="T128" s="219">
        <f t="shared" si="22"/>
        <v>50.55599999999999</v>
      </c>
      <c r="U128" s="219">
        <f t="shared" si="23"/>
        <v>0.55707999599999991</v>
      </c>
      <c r="V128" s="188">
        <f t="shared" si="24"/>
        <v>1.2658799999999998E+17</v>
      </c>
      <c r="X128" s="323">
        <v>6.9900000000000004E-2</v>
      </c>
      <c r="Y128" s="323">
        <v>4.82E-2</v>
      </c>
      <c r="Z128" s="323">
        <v>2.1999999999999999E-2</v>
      </c>
      <c r="AB128" s="323">
        <v>10.6</v>
      </c>
      <c r="AC128" s="323">
        <v>7</v>
      </c>
      <c r="AD128" s="323">
        <v>2.7</v>
      </c>
      <c r="AF128" s="323">
        <v>2.2200000000000002</v>
      </c>
      <c r="AG128" s="323">
        <v>4.8499999999999996</v>
      </c>
      <c r="AH128" s="323">
        <v>29.59</v>
      </c>
      <c r="AJ128" s="323">
        <v>2.7</v>
      </c>
      <c r="AK128" s="323">
        <v>6</v>
      </c>
      <c r="AL128" s="323">
        <v>38.299999999999997</v>
      </c>
      <c r="AN128" s="323">
        <v>0.35160000000000002</v>
      </c>
      <c r="AO128" s="323">
        <v>0.29120000000000001</v>
      </c>
      <c r="AP128" s="323">
        <v>0.1905</v>
      </c>
      <c r="AR128" s="323">
        <v>0.56928000000000001</v>
      </c>
      <c r="AS128" s="323">
        <v>0.61297250000000003</v>
      </c>
      <c r="AT128" s="323">
        <v>0.42203030000000002</v>
      </c>
      <c r="AV128" s="190">
        <v>2.502E+16</v>
      </c>
      <c r="AW128" s="190">
        <v>1.308E+17</v>
      </c>
      <c r="AX128" s="190">
        <v>9.59E+16</v>
      </c>
      <c r="AY128" s="203">
        <v>0.7</v>
      </c>
      <c r="BB128" s="204">
        <v>42502</v>
      </c>
      <c r="BC128" s="203" t="s">
        <v>3076</v>
      </c>
    </row>
    <row r="129" spans="1:56" x14ac:dyDescent="0.2">
      <c r="A129" s="184" t="s">
        <v>980</v>
      </c>
      <c r="B129" s="184" t="s">
        <v>980</v>
      </c>
      <c r="C129" s="184" t="s">
        <v>715</v>
      </c>
      <c r="D129" s="185" t="s">
        <v>812</v>
      </c>
      <c r="E129" s="184" t="s">
        <v>981</v>
      </c>
      <c r="F129" s="184" t="s">
        <v>982</v>
      </c>
      <c r="G129" s="186">
        <f>IF(ALECA_Input!$F$13="ICAO (3000ft)",'Aircraft Calc'!C$218,'Aircraft Calc'!G$218)</f>
        <v>0</v>
      </c>
      <c r="H129" s="186">
        <f>IF(ALECA_Input!$F$13="ICAO (3000ft)",'Aircraft Calc'!D$218,'Aircraft Calc'!H$218)</f>
        <v>3</v>
      </c>
      <c r="I129" s="186">
        <f>IF(ALECA_Input!$F$13="ICAO (3000ft)",'Aircraft Calc'!E$218,'Aircraft Calc'!I$218)</f>
        <v>5.5</v>
      </c>
      <c r="J129" s="186">
        <v>1</v>
      </c>
      <c r="K129" s="187">
        <f t="shared" si="13"/>
        <v>35.477999999999994</v>
      </c>
      <c r="L129" s="187">
        <f t="shared" si="14"/>
        <v>0.38188259999999996</v>
      </c>
      <c r="M129" s="187">
        <f t="shared" si="15"/>
        <v>8.5571099999999997E-2</v>
      </c>
      <c r="N129" s="187">
        <f t="shared" si="16"/>
        <v>0.1025658</v>
      </c>
      <c r="O129" s="187">
        <f t="shared" si="17"/>
        <v>2.0486304495E-2</v>
      </c>
      <c r="P129" s="188">
        <f t="shared" si="18"/>
        <v>3.4794144E+18</v>
      </c>
      <c r="Q129" s="187">
        <f t="shared" si="19"/>
        <v>1548</v>
      </c>
      <c r="R129" s="219">
        <f t="shared" si="20"/>
        <v>5.2632000000000003</v>
      </c>
      <c r="S129" s="219">
        <f t="shared" si="21"/>
        <v>30.294360000000001</v>
      </c>
      <c r="T129" s="219">
        <f t="shared" si="22"/>
        <v>38.854800000000004</v>
      </c>
      <c r="U129" s="219">
        <f t="shared" si="23"/>
        <v>0.57849828120000002</v>
      </c>
      <c r="V129" s="188">
        <f t="shared" si="24"/>
        <v>1.592892E+17</v>
      </c>
      <c r="X129" s="323">
        <v>9.0399999999999994E-2</v>
      </c>
      <c r="Y129" s="323">
        <v>5.8200000000000002E-2</v>
      </c>
      <c r="Z129" s="323">
        <v>2.58E-2</v>
      </c>
      <c r="AB129" s="323">
        <v>13.2</v>
      </c>
      <c r="AC129" s="323">
        <v>8.6999999999999993</v>
      </c>
      <c r="AD129" s="323">
        <v>3.4</v>
      </c>
      <c r="AF129" s="323">
        <v>1.47</v>
      </c>
      <c r="AG129" s="323">
        <v>3.21</v>
      </c>
      <c r="AH129" s="323">
        <v>19.57</v>
      </c>
      <c r="AJ129" s="323">
        <v>1.7</v>
      </c>
      <c r="AK129" s="323">
        <v>3.9</v>
      </c>
      <c r="AL129" s="323">
        <v>25.1</v>
      </c>
      <c r="AN129" s="323">
        <v>0.41760000000000003</v>
      </c>
      <c r="AO129" s="323">
        <v>0.34720000000000001</v>
      </c>
      <c r="AP129" s="323">
        <v>0.20399999999999999</v>
      </c>
      <c r="AR129" s="323">
        <v>0.57828000000000002</v>
      </c>
      <c r="AS129" s="323">
        <v>0.57672250000000003</v>
      </c>
      <c r="AT129" s="323">
        <v>0.37370690000000001</v>
      </c>
      <c r="AV129" s="190">
        <v>2.97E+16</v>
      </c>
      <c r="AW129" s="190">
        <v>1.56E+17</v>
      </c>
      <c r="AX129" s="190">
        <v>1.029E+17</v>
      </c>
      <c r="AY129" s="203">
        <v>0.7</v>
      </c>
      <c r="BB129" s="204">
        <v>42502</v>
      </c>
      <c r="BC129" s="203" t="s">
        <v>3076</v>
      </c>
    </row>
    <row r="130" spans="1:56" x14ac:dyDescent="0.2">
      <c r="A130" s="184" t="s">
        <v>983</v>
      </c>
      <c r="B130" s="184" t="s">
        <v>983</v>
      </c>
      <c r="C130" s="184" t="s">
        <v>769</v>
      </c>
      <c r="D130" s="185" t="s">
        <v>812</v>
      </c>
      <c r="E130" s="184" t="s">
        <v>984</v>
      </c>
      <c r="F130" s="184" t="s">
        <v>984</v>
      </c>
      <c r="G130" s="186">
        <f>IF(ALECA_Input!$F$13="ICAO (3000ft)",'Aircraft Calc'!C$218,'Aircraft Calc'!G$218)</f>
        <v>0</v>
      </c>
      <c r="H130" s="186">
        <f>IF(ALECA_Input!$F$13="ICAO (3000ft)",'Aircraft Calc'!D$218,'Aircraft Calc'!H$218)</f>
        <v>3</v>
      </c>
      <c r="I130" s="186">
        <f>IF(ALECA_Input!$F$13="ICAO (3000ft)",'Aircraft Calc'!E$218,'Aircraft Calc'!I$218)</f>
        <v>5.5</v>
      </c>
      <c r="J130" s="186">
        <v>1</v>
      </c>
      <c r="K130" s="187">
        <f t="shared" si="13"/>
        <v>52.658999999999999</v>
      </c>
      <c r="L130" s="187">
        <f t="shared" si="14"/>
        <v>0.79731989999999997</v>
      </c>
      <c r="M130" s="187">
        <f t="shared" si="15"/>
        <v>6.6551579999999999E-2</v>
      </c>
      <c r="N130" s="187">
        <f t="shared" si="16"/>
        <v>7.9587900000000003E-2</v>
      </c>
      <c r="O130" s="187">
        <f t="shared" si="17"/>
        <v>3.1312451789999994E-2</v>
      </c>
      <c r="P130" s="188">
        <f t="shared" si="18"/>
        <v>6.3809478E+18</v>
      </c>
      <c r="Q130" s="187">
        <f t="shared" si="19"/>
        <v>2040</v>
      </c>
      <c r="R130" s="219">
        <f t="shared" si="20"/>
        <v>9.588000000000001</v>
      </c>
      <c r="S130" s="219">
        <f t="shared" si="21"/>
        <v>21.358800000000002</v>
      </c>
      <c r="T130" s="219">
        <f t="shared" si="22"/>
        <v>26.927999999999997</v>
      </c>
      <c r="U130" s="219">
        <f t="shared" si="23"/>
        <v>0.71820219600000001</v>
      </c>
      <c r="V130" s="188">
        <f t="shared" si="24"/>
        <v>2.45616E+17</v>
      </c>
      <c r="X130" s="323">
        <v>0.14349999999999999</v>
      </c>
      <c r="Y130" s="323">
        <v>8.1299999999999997E-2</v>
      </c>
      <c r="Z130" s="323">
        <v>3.4000000000000002E-2</v>
      </c>
      <c r="AB130" s="323">
        <v>18.3</v>
      </c>
      <c r="AC130" s="323">
        <v>12.1</v>
      </c>
      <c r="AD130" s="323">
        <v>4.7</v>
      </c>
      <c r="AF130" s="323">
        <v>0.79</v>
      </c>
      <c r="AG130" s="323">
        <v>1.72</v>
      </c>
      <c r="AH130" s="323">
        <v>10.47</v>
      </c>
      <c r="AJ130" s="323">
        <v>0.9</v>
      </c>
      <c r="AK130" s="323">
        <v>2.1</v>
      </c>
      <c r="AL130" s="323">
        <v>13.2</v>
      </c>
      <c r="AN130" s="323">
        <v>0.47639999999999999</v>
      </c>
      <c r="AO130" s="323">
        <v>0.45779999999999998</v>
      </c>
      <c r="AP130" s="323">
        <v>0.23849999999999999</v>
      </c>
      <c r="AR130" s="323">
        <v>0.58540000000000003</v>
      </c>
      <c r="AS130" s="323">
        <v>0.60350999999999999</v>
      </c>
      <c r="AT130" s="323">
        <v>0.35205989999999998</v>
      </c>
      <c r="AV130" s="190">
        <v>3.39E+16</v>
      </c>
      <c r="AW130" s="190">
        <v>2.052E+17</v>
      </c>
      <c r="AX130" s="190">
        <v>1.204E+17</v>
      </c>
      <c r="AY130" s="203">
        <v>0.7</v>
      </c>
      <c r="BB130" s="204">
        <v>42502</v>
      </c>
      <c r="BC130" s="203" t="s">
        <v>3075</v>
      </c>
    </row>
    <row r="131" spans="1:56" x14ac:dyDescent="0.2">
      <c r="A131" s="184" t="s">
        <v>985</v>
      </c>
      <c r="B131" s="184" t="s">
        <v>985</v>
      </c>
      <c r="C131" s="184" t="s">
        <v>769</v>
      </c>
      <c r="D131" s="185" t="s">
        <v>812</v>
      </c>
      <c r="E131" s="184" t="s">
        <v>986</v>
      </c>
      <c r="F131" s="184" t="s">
        <v>986</v>
      </c>
      <c r="G131" s="186">
        <f>IF(ALECA_Input!$F$13="ICAO (3000ft)",'Aircraft Calc'!C$218,'Aircraft Calc'!G$218)</f>
        <v>0</v>
      </c>
      <c r="H131" s="186">
        <f>IF(ALECA_Input!$F$13="ICAO (3000ft)",'Aircraft Calc'!D$218,'Aircraft Calc'!H$218)</f>
        <v>3</v>
      </c>
      <c r="I131" s="186">
        <f>IF(ALECA_Input!$F$13="ICAO (3000ft)",'Aircraft Calc'!E$218,'Aircraft Calc'!I$218)</f>
        <v>5.5</v>
      </c>
      <c r="J131" s="186">
        <v>1</v>
      </c>
      <c r="K131" s="187">
        <f t="shared" si="13"/>
        <v>58.379999999999995</v>
      </c>
      <c r="L131" s="187">
        <f t="shared" si="14"/>
        <v>0.94674599999999998</v>
      </c>
      <c r="M131" s="187">
        <f t="shared" si="15"/>
        <v>6.4969200000000005E-2</v>
      </c>
      <c r="N131" s="187">
        <f t="shared" si="16"/>
        <v>7.5744000000000006E-2</v>
      </c>
      <c r="O131" s="187">
        <f t="shared" si="17"/>
        <v>3.4559347800000001E-2</v>
      </c>
      <c r="P131" s="188">
        <f t="shared" si="18"/>
        <v>7.232238E+18</v>
      </c>
      <c r="Q131" s="187">
        <f t="shared" si="19"/>
        <v>2147.9999999999995</v>
      </c>
      <c r="R131" s="219">
        <f t="shared" si="20"/>
        <v>10.739999999999998</v>
      </c>
      <c r="S131" s="219">
        <f t="shared" si="21"/>
        <v>19.976399999999998</v>
      </c>
      <c r="T131" s="219">
        <f t="shared" si="22"/>
        <v>25.131599999999995</v>
      </c>
      <c r="U131" s="219">
        <f t="shared" si="23"/>
        <v>0.75682846799999992</v>
      </c>
      <c r="V131" s="188">
        <f t="shared" si="24"/>
        <v>2.6613719999999997E+17</v>
      </c>
      <c r="X131" s="323">
        <v>0.16300000000000001</v>
      </c>
      <c r="Y131" s="323">
        <v>8.7999999999999995E-2</v>
      </c>
      <c r="Z131" s="323">
        <v>3.5799999999999998E-2</v>
      </c>
      <c r="AB131" s="323">
        <v>19.5</v>
      </c>
      <c r="AC131" s="323">
        <v>12.9</v>
      </c>
      <c r="AD131" s="323">
        <v>5</v>
      </c>
      <c r="AF131" s="323">
        <v>0.7</v>
      </c>
      <c r="AG131" s="323">
        <v>1.53</v>
      </c>
      <c r="AH131" s="323">
        <v>9.3000000000000007</v>
      </c>
      <c r="AJ131" s="323">
        <v>0.8</v>
      </c>
      <c r="AK131" s="323">
        <v>1.8</v>
      </c>
      <c r="AL131" s="323">
        <v>11.7</v>
      </c>
      <c r="AN131" s="323">
        <v>0.46679999999999999</v>
      </c>
      <c r="AO131" s="323">
        <v>0.48020000000000002</v>
      </c>
      <c r="AP131" s="323">
        <v>0.246</v>
      </c>
      <c r="AR131" s="323">
        <v>0.56896000000000002</v>
      </c>
      <c r="AS131" s="323">
        <v>0.61522250000000001</v>
      </c>
      <c r="AT131" s="323">
        <v>0.35234100000000002</v>
      </c>
      <c r="AV131" s="190">
        <v>3.33E+16</v>
      </c>
      <c r="AW131" s="190">
        <v>2.154E+17</v>
      </c>
      <c r="AX131" s="190">
        <v>1.239E+17</v>
      </c>
      <c r="AY131" s="203">
        <v>0.7</v>
      </c>
      <c r="BB131" s="204">
        <v>42502</v>
      </c>
      <c r="BC131" s="203" t="s">
        <v>3075</v>
      </c>
    </row>
    <row r="132" spans="1:56" x14ac:dyDescent="0.2">
      <c r="A132" s="184" t="s">
        <v>987</v>
      </c>
      <c r="B132" s="184" t="s">
        <v>987</v>
      </c>
      <c r="C132" s="184" t="s">
        <v>769</v>
      </c>
      <c r="D132" s="185" t="s">
        <v>812</v>
      </c>
      <c r="E132" s="184" t="s">
        <v>988</v>
      </c>
      <c r="F132" s="184" t="s">
        <v>989</v>
      </c>
      <c r="G132" s="186">
        <f>IF(ALECA_Input!$F$13="ICAO (3000ft)",'Aircraft Calc'!C$218,'Aircraft Calc'!G$218)</f>
        <v>0</v>
      </c>
      <c r="H132" s="186">
        <f>IF(ALECA_Input!$F$13="ICAO (3000ft)",'Aircraft Calc'!D$218,'Aircraft Calc'!H$218)</f>
        <v>3</v>
      </c>
      <c r="I132" s="186">
        <f>IF(ALECA_Input!$F$13="ICAO (3000ft)",'Aircraft Calc'!E$218,'Aircraft Calc'!I$218)</f>
        <v>5.5</v>
      </c>
      <c r="J132" s="186">
        <v>1</v>
      </c>
      <c r="K132" s="187">
        <f t="shared" si="13"/>
        <v>31.484999999999999</v>
      </c>
      <c r="L132" s="187">
        <f t="shared" si="14"/>
        <v>0.30195899999999992</v>
      </c>
      <c r="M132" s="187">
        <f t="shared" si="15"/>
        <v>9.4867259999999981E-2</v>
      </c>
      <c r="N132" s="187">
        <f t="shared" si="16"/>
        <v>0.11622269999999998</v>
      </c>
      <c r="O132" s="187">
        <f t="shared" si="17"/>
        <v>1.8282093404999998E-2</v>
      </c>
      <c r="P132" s="188">
        <f t="shared" si="18"/>
        <v>2.85692076E+18</v>
      </c>
      <c r="Q132" s="187">
        <f t="shared" si="19"/>
        <v>1416</v>
      </c>
      <c r="R132" s="219">
        <f t="shared" si="20"/>
        <v>4.2479999999999993</v>
      </c>
      <c r="S132" s="219">
        <f t="shared" si="21"/>
        <v>34.408799999999999</v>
      </c>
      <c r="T132" s="219">
        <f t="shared" si="22"/>
        <v>44.320799999999998</v>
      </c>
      <c r="U132" s="219">
        <f t="shared" si="23"/>
        <v>0.55987365599999994</v>
      </c>
      <c r="V132" s="188">
        <f t="shared" si="24"/>
        <v>1.397592E+17</v>
      </c>
      <c r="X132" s="323">
        <v>7.8299999999999995E-2</v>
      </c>
      <c r="Y132" s="323">
        <v>5.2699999999999997E-2</v>
      </c>
      <c r="Z132" s="323">
        <v>2.3599999999999999E-2</v>
      </c>
      <c r="AB132" s="323">
        <v>11.8</v>
      </c>
      <c r="AC132" s="323">
        <v>7.8</v>
      </c>
      <c r="AD132" s="323">
        <v>3</v>
      </c>
      <c r="AF132" s="323">
        <v>1.82</v>
      </c>
      <c r="AG132" s="323">
        <v>3.98</v>
      </c>
      <c r="AH132" s="323">
        <v>24.3</v>
      </c>
      <c r="AJ132" s="323">
        <v>2.2000000000000002</v>
      </c>
      <c r="AK132" s="323">
        <v>4.9000000000000004</v>
      </c>
      <c r="AL132" s="323">
        <v>31.3</v>
      </c>
      <c r="AN132" s="323">
        <v>0.38279999999999997</v>
      </c>
      <c r="AO132" s="323">
        <v>0.31640000000000001</v>
      </c>
      <c r="AP132" s="323">
        <v>0.19650000000000001</v>
      </c>
      <c r="AR132" s="323">
        <v>0.57008000000000003</v>
      </c>
      <c r="AS132" s="323">
        <v>0.58923499999999995</v>
      </c>
      <c r="AT132" s="323">
        <v>0.39539099999999999</v>
      </c>
      <c r="AV132" s="190">
        <v>2.724E+16</v>
      </c>
      <c r="AW132" s="190">
        <v>1.422E+17</v>
      </c>
      <c r="AX132" s="190">
        <v>9.87E+16</v>
      </c>
      <c r="AY132" s="203">
        <v>0.7</v>
      </c>
      <c r="BB132" s="204">
        <v>42502</v>
      </c>
      <c r="BC132" s="203" t="s">
        <v>3075</v>
      </c>
    </row>
    <row r="133" spans="1:56" x14ac:dyDescent="0.2">
      <c r="A133" s="184" t="s">
        <v>3645</v>
      </c>
      <c r="B133" s="184" t="s">
        <v>3645</v>
      </c>
      <c r="C133" s="184" t="s">
        <v>769</v>
      </c>
      <c r="D133" s="185" t="s">
        <v>812</v>
      </c>
      <c r="E133" s="184" t="s">
        <v>3646</v>
      </c>
      <c r="F133" s="184" t="s">
        <v>3647</v>
      </c>
      <c r="G133" s="186">
        <f>IF(ALECA_Input!$F$13="ICAO (3000ft)",'Aircraft Calc'!C$218,'Aircraft Calc'!G$218)</f>
        <v>0</v>
      </c>
      <c r="H133" s="186">
        <f>IF(ALECA_Input!$F$13="ICAO (3000ft)",'Aircraft Calc'!D$218,'Aircraft Calc'!H$218)</f>
        <v>3</v>
      </c>
      <c r="I133" s="186">
        <f>IF(ALECA_Input!$F$13="ICAO (3000ft)",'Aircraft Calc'!E$218,'Aircraft Calc'!I$218)</f>
        <v>5.5</v>
      </c>
      <c r="J133" s="186">
        <v>1</v>
      </c>
      <c r="K133" s="187">
        <f t="shared" ref="K133" si="25">(G133*W133*60+H133*X133*60+I133*Y133*60)</f>
        <v>29.749036859999997</v>
      </c>
      <c r="L133" s="187">
        <f t="shared" ref="L133" si="26">(G133*W133*60*AA133+H133*X133*60*AB133+I133*Y133*60*AC133)/1000</f>
        <v>0.26897502239999999</v>
      </c>
      <c r="M133" s="187">
        <f t="shared" ref="M133" si="27">(G133*W133*60*AE133+H133*X133*60*AF133+I133*Y133*60*AG133)/1000</f>
        <v>0.1005763273722</v>
      </c>
      <c r="N133" s="187">
        <f t="shared" ref="N133" si="28">(G133*W133*60*AI133+H133*X133*60*AJ133+I133*Y133*60*AK133)/1000</f>
        <v>0.12270628006199999</v>
      </c>
      <c r="O133" s="187">
        <f t="shared" ref="O133" si="29">(G133*W133*60*AQ133+H133*X133*60*AR133+I133*Y133*60*AS133)/1000</f>
        <v>1.746533012638905E-2</v>
      </c>
      <c r="P133" s="188">
        <f t="shared" ref="P133" si="30">(G133*W133*60*AU133+H133*X133*60*AV133+I133*Y133*60*AW133)</f>
        <v>2.5891178128572093E+18</v>
      </c>
      <c r="Q133" s="187">
        <f t="shared" ref="Q133" si="31">J133*Z133*60*1000</f>
        <v>1360.56294</v>
      </c>
      <c r="R133" s="219">
        <f t="shared" ref="R133" si="32">J133*Z133*60*AD133</f>
        <v>3.809576232</v>
      </c>
      <c r="S133" s="219">
        <f t="shared" ref="S133" si="33">J133*Z133*60*AH133</f>
        <v>36.925678191600007</v>
      </c>
      <c r="T133" s="219">
        <f t="shared" ref="T133" si="34">J133*Z133*60*AL133</f>
        <v>47.755759194000007</v>
      </c>
      <c r="U133" s="219">
        <f t="shared" ref="U133" si="35">J133*Z133*60*AT133</f>
        <v>0.55567268046457208</v>
      </c>
      <c r="V133" s="188">
        <f t="shared" ref="V133" si="36">J133*Z133*60*AX133</f>
        <v>1.3151419068110402E+17</v>
      </c>
      <c r="X133" s="323">
        <v>7.3321546000000001E-2</v>
      </c>
      <c r="Y133" s="323">
        <v>5.0155025999999998E-2</v>
      </c>
      <c r="Z133" s="323">
        <v>2.2676049E-2</v>
      </c>
      <c r="AB133" s="323">
        <v>11.1</v>
      </c>
      <c r="AC133" s="323">
        <v>7.4</v>
      </c>
      <c r="AD133" s="323">
        <v>2.8</v>
      </c>
      <c r="AF133" s="323">
        <v>2.04</v>
      </c>
      <c r="AG133" s="323">
        <v>4.45</v>
      </c>
      <c r="AH133" s="323">
        <v>27.14</v>
      </c>
      <c r="AJ133" s="323">
        <v>2.4</v>
      </c>
      <c r="AK133" s="323">
        <v>5.5</v>
      </c>
      <c r="AL133" s="323">
        <v>35.1</v>
      </c>
      <c r="AN133" s="323">
        <v>0.36480000000000001</v>
      </c>
      <c r="AO133" s="323">
        <v>0.3024</v>
      </c>
      <c r="AP133" s="323">
        <v>0.192</v>
      </c>
      <c r="AR133" s="323">
        <v>0.56879999999999997</v>
      </c>
      <c r="AS133" s="323">
        <v>0.60167250000000005</v>
      </c>
      <c r="AT133" s="323">
        <v>0.40841379999999999</v>
      </c>
      <c r="AV133" s="190">
        <v>2.594562E+16</v>
      </c>
      <c r="AW133" s="190">
        <v>1.357422E+17</v>
      </c>
      <c r="AX133" s="190">
        <v>9.66616E+16</v>
      </c>
    </row>
    <row r="134" spans="1:56" x14ac:dyDescent="0.2">
      <c r="A134" s="184" t="s">
        <v>990</v>
      </c>
      <c r="B134" s="184" t="s">
        <v>990</v>
      </c>
      <c r="C134" s="184" t="s">
        <v>769</v>
      </c>
      <c r="D134" s="185" t="s">
        <v>812</v>
      </c>
      <c r="E134" s="184" t="s">
        <v>991</v>
      </c>
      <c r="F134" s="184" t="s">
        <v>991</v>
      </c>
      <c r="G134" s="186">
        <f>IF(ALECA_Input!$F$13="ICAO (3000ft)",'Aircraft Calc'!C$218,'Aircraft Calc'!G$218)</f>
        <v>0</v>
      </c>
      <c r="H134" s="186">
        <f>IF(ALECA_Input!$F$13="ICAO (3000ft)",'Aircraft Calc'!D$218,'Aircraft Calc'!H$218)</f>
        <v>3</v>
      </c>
      <c r="I134" s="186">
        <f>IF(ALECA_Input!$F$13="ICAO (3000ft)",'Aircraft Calc'!E$218,'Aircraft Calc'!I$218)</f>
        <v>5.5</v>
      </c>
      <c r="J134" s="186">
        <v>1</v>
      </c>
      <c r="K134" s="187">
        <f t="shared" si="13"/>
        <v>32.561999999999998</v>
      </c>
      <c r="L134" s="187">
        <f t="shared" si="14"/>
        <v>0.32419439999999999</v>
      </c>
      <c r="M134" s="187">
        <f t="shared" si="15"/>
        <v>9.1351800000000011E-2</v>
      </c>
      <c r="N134" s="187">
        <f t="shared" si="16"/>
        <v>0.10967400000000001</v>
      </c>
      <c r="O134" s="187">
        <f t="shared" si="17"/>
        <v>1.8843072120000002E-2</v>
      </c>
      <c r="P134" s="188">
        <f t="shared" si="18"/>
        <v>3.02147658E+18</v>
      </c>
      <c r="Q134" s="187">
        <f t="shared" si="19"/>
        <v>1458</v>
      </c>
      <c r="R134" s="219">
        <f t="shared" si="20"/>
        <v>4.5198</v>
      </c>
      <c r="S134" s="219">
        <f t="shared" si="21"/>
        <v>33.052860000000003</v>
      </c>
      <c r="T134" s="219">
        <f t="shared" si="22"/>
        <v>42.427799999999998</v>
      </c>
      <c r="U134" s="219">
        <f t="shared" si="23"/>
        <v>0.5640038262</v>
      </c>
      <c r="V134" s="188">
        <f t="shared" si="24"/>
        <v>1.449252E+17</v>
      </c>
      <c r="X134" s="323">
        <v>8.1900000000000001E-2</v>
      </c>
      <c r="Y134" s="323">
        <v>5.3999999999999999E-2</v>
      </c>
      <c r="Z134" s="323">
        <v>2.4299999999999999E-2</v>
      </c>
      <c r="AB134" s="323">
        <v>12.2</v>
      </c>
      <c r="AC134" s="323">
        <v>8.1</v>
      </c>
      <c r="AD134" s="323">
        <v>3.1</v>
      </c>
      <c r="AF134" s="323">
        <v>1.7</v>
      </c>
      <c r="AG134" s="323">
        <v>3.72</v>
      </c>
      <c r="AH134" s="323">
        <v>22.67</v>
      </c>
      <c r="AJ134" s="323">
        <v>2</v>
      </c>
      <c r="AK134" s="323">
        <v>4.5</v>
      </c>
      <c r="AL134" s="323">
        <v>29.1</v>
      </c>
      <c r="AN134" s="323">
        <v>0.39360000000000001</v>
      </c>
      <c r="AO134" s="323">
        <v>0.32619999999999999</v>
      </c>
      <c r="AP134" s="323">
        <v>0.19800000000000001</v>
      </c>
      <c r="AR134" s="323">
        <v>0.57176000000000005</v>
      </c>
      <c r="AS134" s="323">
        <v>0.58440999999999999</v>
      </c>
      <c r="AT134" s="323">
        <v>0.38683390000000001</v>
      </c>
      <c r="AV134" s="190">
        <v>2.799E+16</v>
      </c>
      <c r="AW134" s="190">
        <v>1.464E+17</v>
      </c>
      <c r="AX134" s="190">
        <v>9.94E+16</v>
      </c>
      <c r="AY134" s="203">
        <v>0.7</v>
      </c>
      <c r="BB134" s="204">
        <v>42502</v>
      </c>
      <c r="BC134" s="203" t="s">
        <v>3075</v>
      </c>
    </row>
    <row r="135" spans="1:56" x14ac:dyDescent="0.2">
      <c r="A135" s="184" t="s">
        <v>992</v>
      </c>
      <c r="B135" s="184" t="s">
        <v>992</v>
      </c>
      <c r="C135" s="184" t="s">
        <v>769</v>
      </c>
      <c r="D135" s="185" t="s">
        <v>812</v>
      </c>
      <c r="E135" s="184" t="s">
        <v>993</v>
      </c>
      <c r="F135" s="184" t="s">
        <v>993</v>
      </c>
      <c r="G135" s="186">
        <f>IF(ALECA_Input!$F$13="ICAO (3000ft)",'Aircraft Calc'!C$218,'Aircraft Calc'!G$218)</f>
        <v>0</v>
      </c>
      <c r="H135" s="186">
        <f>IF(ALECA_Input!$F$13="ICAO (3000ft)",'Aircraft Calc'!D$218,'Aircraft Calc'!H$218)</f>
        <v>3</v>
      </c>
      <c r="I135" s="186">
        <f>IF(ALECA_Input!$F$13="ICAO (3000ft)",'Aircraft Calc'!E$218,'Aircraft Calc'!I$218)</f>
        <v>5.5</v>
      </c>
      <c r="J135" s="186">
        <v>1</v>
      </c>
      <c r="K135" s="187">
        <f t="shared" si="13"/>
        <v>40.710000000000008</v>
      </c>
      <c r="L135" s="187">
        <f t="shared" si="14"/>
        <v>0.49932900000000008</v>
      </c>
      <c r="M135" s="187">
        <f t="shared" si="15"/>
        <v>7.66101E-2</v>
      </c>
      <c r="N135" s="187">
        <f t="shared" si="16"/>
        <v>9.3459E-2</v>
      </c>
      <c r="O135" s="187">
        <f t="shared" si="17"/>
        <v>2.3745230325000002E-2</v>
      </c>
      <c r="P135" s="188">
        <f t="shared" si="18"/>
        <v>4.3376760000000005E+18</v>
      </c>
      <c r="Q135" s="187">
        <f t="shared" si="19"/>
        <v>1710</v>
      </c>
      <c r="R135" s="219">
        <f t="shared" si="20"/>
        <v>6.4979999999999993</v>
      </c>
      <c r="S135" s="219">
        <f t="shared" si="21"/>
        <v>26.4024</v>
      </c>
      <c r="T135" s="219">
        <f t="shared" si="22"/>
        <v>33.515999999999998</v>
      </c>
      <c r="U135" s="219">
        <f t="shared" si="23"/>
        <v>0.61341940800000005</v>
      </c>
      <c r="V135" s="188">
        <f t="shared" si="24"/>
        <v>1.84338E+17</v>
      </c>
      <c r="X135" s="323">
        <v>0.107</v>
      </c>
      <c r="Y135" s="323">
        <v>6.5000000000000002E-2</v>
      </c>
      <c r="Z135" s="323">
        <v>2.8500000000000001E-2</v>
      </c>
      <c r="AB135" s="323">
        <v>14.9</v>
      </c>
      <c r="AC135" s="323">
        <v>9.9</v>
      </c>
      <c r="AD135" s="323">
        <v>3.8</v>
      </c>
      <c r="AF135" s="323">
        <v>1.1599999999999999</v>
      </c>
      <c r="AG135" s="323">
        <v>2.5299999999999998</v>
      </c>
      <c r="AH135" s="323">
        <v>15.44</v>
      </c>
      <c r="AJ135" s="323">
        <v>1.4</v>
      </c>
      <c r="AK135" s="323">
        <v>3.1</v>
      </c>
      <c r="AL135" s="323">
        <v>19.600000000000001</v>
      </c>
      <c r="AN135" s="323">
        <v>0.45240000000000002</v>
      </c>
      <c r="AO135" s="323">
        <v>0.38640000000000002</v>
      </c>
      <c r="AP135" s="323">
        <v>0.2145</v>
      </c>
      <c r="AR135" s="323">
        <v>0.58952000000000004</v>
      </c>
      <c r="AS135" s="323">
        <v>0.57767250000000003</v>
      </c>
      <c r="AT135" s="323">
        <v>0.35872480000000001</v>
      </c>
      <c r="AV135" s="190">
        <v>3.21E+16</v>
      </c>
      <c r="AW135" s="190">
        <v>1.734E+17</v>
      </c>
      <c r="AX135" s="190">
        <v>1.078E+17</v>
      </c>
      <c r="AY135" s="203">
        <v>0.7</v>
      </c>
      <c r="BB135" s="204">
        <v>42502</v>
      </c>
      <c r="BC135" s="203" t="s">
        <v>3075</v>
      </c>
    </row>
    <row r="136" spans="1:56" x14ac:dyDescent="0.2">
      <c r="A136" s="184" t="s">
        <v>994</v>
      </c>
      <c r="B136" s="184" t="s">
        <v>994</v>
      </c>
      <c r="C136" s="184" t="s">
        <v>774</v>
      </c>
      <c r="D136" s="185" t="s">
        <v>812</v>
      </c>
      <c r="E136" s="184" t="s">
        <v>995</v>
      </c>
      <c r="F136" s="184" t="s">
        <v>995</v>
      </c>
      <c r="G136" s="186">
        <f>IF(ALECA_Input!$F$13="ICAO (3000ft)",'Aircraft Calc'!C$218,'Aircraft Calc'!G$218)</f>
        <v>0</v>
      </c>
      <c r="H136" s="186">
        <f>IF(ALECA_Input!$F$13="ICAO (3000ft)",'Aircraft Calc'!D$218,'Aircraft Calc'!H$218)</f>
        <v>3</v>
      </c>
      <c r="I136" s="186">
        <f>IF(ALECA_Input!$F$13="ICAO (3000ft)",'Aircraft Calc'!E$218,'Aircraft Calc'!I$218)</f>
        <v>5.5</v>
      </c>
      <c r="J136" s="186">
        <v>1</v>
      </c>
      <c r="K136" s="187">
        <f t="shared" si="13"/>
        <v>198.33</v>
      </c>
      <c r="L136" s="187">
        <f t="shared" si="14"/>
        <v>5.5216260000000004</v>
      </c>
      <c r="M136" s="187">
        <f t="shared" si="15"/>
        <v>7.8388200000000005E-2</v>
      </c>
      <c r="N136" s="187">
        <f t="shared" si="16"/>
        <v>8.9298000000000002E-2</v>
      </c>
      <c r="O136" s="187">
        <f t="shared" si="17"/>
        <v>0.13177884555</v>
      </c>
      <c r="P136" s="188">
        <f t="shared" si="18"/>
        <v>2.5699608E+19</v>
      </c>
      <c r="Q136" s="187">
        <f t="shared" si="19"/>
        <v>3420</v>
      </c>
      <c r="R136" s="219">
        <f t="shared" si="20"/>
        <v>29.411999999999999</v>
      </c>
      <c r="S136" s="219">
        <f t="shared" si="21"/>
        <v>11.3202</v>
      </c>
      <c r="T136" s="219">
        <f t="shared" si="22"/>
        <v>13.68</v>
      </c>
      <c r="U136" s="219">
        <f t="shared" si="23"/>
        <v>1.4941388339999999</v>
      </c>
      <c r="V136" s="188">
        <f t="shared" si="24"/>
        <v>6.32016E+17</v>
      </c>
      <c r="X136" s="323">
        <v>0.55000000000000004</v>
      </c>
      <c r="Y136" s="323">
        <v>0.30099999999999999</v>
      </c>
      <c r="Z136" s="323">
        <v>5.7000000000000002E-2</v>
      </c>
      <c r="AB136" s="323">
        <v>33.5</v>
      </c>
      <c r="AC136" s="323">
        <v>22.2</v>
      </c>
      <c r="AD136" s="323">
        <v>8.6</v>
      </c>
      <c r="AF136" s="323">
        <v>0.25</v>
      </c>
      <c r="AG136" s="323">
        <v>0.54</v>
      </c>
      <c r="AH136" s="323">
        <v>3.31</v>
      </c>
      <c r="AJ136" s="323">
        <v>0.3</v>
      </c>
      <c r="AK136" s="323">
        <v>0.6</v>
      </c>
      <c r="AL136" s="323">
        <v>4</v>
      </c>
      <c r="AN136" s="323">
        <v>0.72</v>
      </c>
      <c r="AO136" s="323">
        <v>0.46200000000000002</v>
      </c>
      <c r="AP136" s="323">
        <v>0.36749999999999999</v>
      </c>
      <c r="AR136" s="323">
        <v>0.78795999999999999</v>
      </c>
      <c r="AS136" s="323">
        <v>0.54133500000000001</v>
      </c>
      <c r="AT136" s="323">
        <v>0.43688270000000001</v>
      </c>
      <c r="AV136" s="190">
        <v>5.13E+16</v>
      </c>
      <c r="AW136" s="190">
        <v>2.076E+17</v>
      </c>
      <c r="AX136" s="190">
        <v>1.848E+17</v>
      </c>
      <c r="AY136" s="203">
        <v>9.8000000000000007</v>
      </c>
      <c r="BB136" s="204">
        <v>42502</v>
      </c>
      <c r="BC136" s="203" t="s">
        <v>3075</v>
      </c>
    </row>
    <row r="137" spans="1:56" x14ac:dyDescent="0.2">
      <c r="A137" s="184" t="s">
        <v>996</v>
      </c>
      <c r="B137" s="184" t="s">
        <v>996</v>
      </c>
      <c r="C137" s="184" t="s">
        <v>715</v>
      </c>
      <c r="D137" s="185" t="s">
        <v>812</v>
      </c>
      <c r="E137" s="184" t="s">
        <v>997</v>
      </c>
      <c r="F137" s="184" t="s">
        <v>997</v>
      </c>
      <c r="G137" s="186">
        <f>IF(ALECA_Input!$F$13="ICAO (3000ft)",'Aircraft Calc'!C$218,'Aircraft Calc'!G$218)</f>
        <v>0</v>
      </c>
      <c r="H137" s="186">
        <f>IF(ALECA_Input!$F$13="ICAO (3000ft)",'Aircraft Calc'!D$218,'Aircraft Calc'!H$218)</f>
        <v>3</v>
      </c>
      <c r="I137" s="186">
        <f>IF(ALECA_Input!$F$13="ICAO (3000ft)",'Aircraft Calc'!E$218,'Aircraft Calc'!I$218)</f>
        <v>5.5</v>
      </c>
      <c r="J137" s="186">
        <v>1</v>
      </c>
      <c r="K137" s="187">
        <f t="shared" si="13"/>
        <v>18.114000000000001</v>
      </c>
      <c r="L137" s="187">
        <f t="shared" si="14"/>
        <v>0.11520600000000002</v>
      </c>
      <c r="M137" s="187">
        <f t="shared" si="15"/>
        <v>0.11850006</v>
      </c>
      <c r="N137" s="187">
        <f t="shared" si="16"/>
        <v>0.14713920000000003</v>
      </c>
      <c r="O137" s="187">
        <f t="shared" si="17"/>
        <v>1.2744050040000001E-2</v>
      </c>
      <c r="P137" s="188">
        <f t="shared" si="18"/>
        <v>1.21600836E+18</v>
      </c>
      <c r="Q137" s="187">
        <f t="shared" si="19"/>
        <v>864</v>
      </c>
      <c r="R137" s="219">
        <f t="shared" si="20"/>
        <v>1.728</v>
      </c>
      <c r="S137" s="219">
        <f t="shared" si="21"/>
        <v>45.480960000000003</v>
      </c>
      <c r="T137" s="219">
        <f t="shared" si="22"/>
        <v>59.8752</v>
      </c>
      <c r="U137" s="219">
        <f t="shared" si="23"/>
        <v>0.47584696320000003</v>
      </c>
      <c r="V137" s="188">
        <f t="shared" si="24"/>
        <v>7.68096E+16</v>
      </c>
      <c r="X137" s="323">
        <v>4.4900000000000002E-2</v>
      </c>
      <c r="Y137" s="323">
        <v>3.04E-2</v>
      </c>
      <c r="Z137" s="323">
        <v>1.44E-2</v>
      </c>
      <c r="AB137" s="323">
        <v>7.8</v>
      </c>
      <c r="AC137" s="323">
        <v>5.2</v>
      </c>
      <c r="AD137" s="323">
        <v>2</v>
      </c>
      <c r="AF137" s="323">
        <v>3.95</v>
      </c>
      <c r="AG137" s="323">
        <v>8.6300000000000008</v>
      </c>
      <c r="AH137" s="323">
        <v>52.64</v>
      </c>
      <c r="AJ137" s="323">
        <v>4.8</v>
      </c>
      <c r="AK137" s="323">
        <v>10.8</v>
      </c>
      <c r="AL137" s="323">
        <v>69.3</v>
      </c>
      <c r="AN137" s="323">
        <v>0.27239999999999998</v>
      </c>
      <c r="AO137" s="323">
        <v>0.23519999999999999</v>
      </c>
      <c r="AP137" s="323">
        <v>0.17699999999999999</v>
      </c>
      <c r="AR137" s="323">
        <v>0.62156</v>
      </c>
      <c r="AS137" s="323">
        <v>0.76959750000000005</v>
      </c>
      <c r="AT137" s="323">
        <v>0.55074880000000004</v>
      </c>
      <c r="AV137" s="190">
        <v>1.938E+16</v>
      </c>
      <c r="AW137" s="190">
        <v>1.056E+17</v>
      </c>
      <c r="AX137" s="190">
        <v>8.89E+16</v>
      </c>
      <c r="AY137" s="203">
        <v>0.2</v>
      </c>
      <c r="BB137" s="204">
        <v>42502</v>
      </c>
      <c r="BC137" s="203" t="s">
        <v>3075</v>
      </c>
    </row>
    <row r="138" spans="1:56" x14ac:dyDescent="0.2">
      <c r="A138" s="184" t="s">
        <v>998</v>
      </c>
      <c r="B138" s="184" t="s">
        <v>998</v>
      </c>
      <c r="C138" s="184" t="s">
        <v>715</v>
      </c>
      <c r="D138" s="185" t="s">
        <v>812</v>
      </c>
      <c r="E138" s="184" t="s">
        <v>999</v>
      </c>
      <c r="F138" s="184" t="s">
        <v>1000</v>
      </c>
      <c r="G138" s="186">
        <f>IF(ALECA_Input!$F$13="ICAO (3000ft)",'Aircraft Calc'!C$218,'Aircraft Calc'!G$218)</f>
        <v>0</v>
      </c>
      <c r="H138" s="186">
        <f>IF(ALECA_Input!$F$13="ICAO (3000ft)",'Aircraft Calc'!D$218,'Aircraft Calc'!H$218)</f>
        <v>3</v>
      </c>
      <c r="I138" s="186">
        <f>IF(ALECA_Input!$F$13="ICAO (3000ft)",'Aircraft Calc'!E$218,'Aircraft Calc'!I$218)</f>
        <v>5.5</v>
      </c>
      <c r="J138" s="186">
        <v>1</v>
      </c>
      <c r="K138" s="187">
        <f t="shared" si="13"/>
        <v>8.6579999999999995</v>
      </c>
      <c r="L138" s="187">
        <f t="shared" si="14"/>
        <v>2.23848E-2</v>
      </c>
      <c r="M138" s="187">
        <f t="shared" si="15"/>
        <v>0.31352795999999999</v>
      </c>
      <c r="N138" s="187">
        <f t="shared" si="16"/>
        <v>0.40910759999999996</v>
      </c>
      <c r="O138" s="187">
        <f t="shared" si="17"/>
        <v>2.1171937589999999E-2</v>
      </c>
      <c r="P138" s="188">
        <f t="shared" si="18"/>
        <v>2.4655643999999997E+17</v>
      </c>
      <c r="Q138" s="187">
        <f t="shared" si="19"/>
        <v>480</v>
      </c>
      <c r="R138" s="219">
        <f t="shared" si="20"/>
        <v>0.52800000000000002</v>
      </c>
      <c r="S138" s="219">
        <f t="shared" si="21"/>
        <v>86.486400000000003</v>
      </c>
      <c r="T138" s="219">
        <f t="shared" si="22"/>
        <v>117.792</v>
      </c>
      <c r="U138" s="219">
        <f t="shared" si="23"/>
        <v>0.636321888</v>
      </c>
      <c r="V138" s="188">
        <f t="shared" si="24"/>
        <v>4.704E+16</v>
      </c>
      <c r="X138" s="323">
        <v>2.06E-2</v>
      </c>
      <c r="Y138" s="323">
        <v>1.4999999999999999E-2</v>
      </c>
      <c r="Z138" s="323">
        <v>8.0000000000000002E-3</v>
      </c>
      <c r="AB138" s="323">
        <v>3.1</v>
      </c>
      <c r="AC138" s="323">
        <v>2.2000000000000002</v>
      </c>
      <c r="AD138" s="323">
        <v>1.1000000000000001</v>
      </c>
      <c r="AF138" s="323">
        <v>23.12</v>
      </c>
      <c r="AG138" s="323">
        <v>46.02</v>
      </c>
      <c r="AH138" s="323">
        <v>180.18</v>
      </c>
      <c r="AJ138" s="323">
        <v>29.7</v>
      </c>
      <c r="AK138" s="323">
        <v>60.4</v>
      </c>
      <c r="AL138" s="323">
        <v>245.4</v>
      </c>
      <c r="AN138" s="323">
        <v>0.15840000000000001</v>
      </c>
      <c r="AO138" s="323">
        <v>0.16800000000000001</v>
      </c>
      <c r="AP138" s="323">
        <v>0.16500000000000001</v>
      </c>
      <c r="AR138" s="323">
        <v>1.96448</v>
      </c>
      <c r="AS138" s="323">
        <v>2.8055850000000002</v>
      </c>
      <c r="AT138" s="323">
        <v>1.3256706</v>
      </c>
      <c r="AV138" s="190">
        <v>6180000000000000</v>
      </c>
      <c r="AW138" s="190">
        <v>4.518E+16</v>
      </c>
      <c r="AX138" s="190">
        <v>9.8E+16</v>
      </c>
      <c r="AY138" s="203">
        <v>0.2</v>
      </c>
      <c r="BB138" s="204">
        <v>42502</v>
      </c>
      <c r="BC138" s="203" t="s">
        <v>815</v>
      </c>
    </row>
    <row r="139" spans="1:56" x14ac:dyDescent="0.2">
      <c r="A139" s="184" t="s">
        <v>1001</v>
      </c>
      <c r="B139" s="184" t="s">
        <v>1001</v>
      </c>
      <c r="C139" s="184" t="s">
        <v>869</v>
      </c>
      <c r="D139" s="185" t="s">
        <v>812</v>
      </c>
      <c r="E139" s="184" t="s">
        <v>1002</v>
      </c>
      <c r="F139" s="184" t="s">
        <v>1003</v>
      </c>
      <c r="G139" s="186">
        <f>IF(ALECA_Input!$F$13="ICAO (3000ft)",'Aircraft Calc'!C$218,'Aircraft Calc'!G$218)</f>
        <v>0</v>
      </c>
      <c r="H139" s="186">
        <f>IF(ALECA_Input!$F$13="ICAO (3000ft)",'Aircraft Calc'!D$218,'Aircraft Calc'!H$218)</f>
        <v>3</v>
      </c>
      <c r="I139" s="186">
        <f>IF(ALECA_Input!$F$13="ICAO (3000ft)",'Aircraft Calc'!E$218,'Aircraft Calc'!I$218)</f>
        <v>5.5</v>
      </c>
      <c r="J139" s="186">
        <v>1</v>
      </c>
      <c r="K139" s="187">
        <f t="shared" si="13"/>
        <v>31.529999999999998</v>
      </c>
      <c r="L139" s="187">
        <f t="shared" si="14"/>
        <v>0.17838899999999999</v>
      </c>
      <c r="M139" s="187">
        <f t="shared" si="15"/>
        <v>1.5419999999999998E-2</v>
      </c>
      <c r="N139" s="187">
        <f t="shared" si="16"/>
        <v>0.103977</v>
      </c>
      <c r="O139" s="187">
        <f t="shared" si="17"/>
        <v>1.2731677800000001E-2</v>
      </c>
      <c r="P139" s="188">
        <f t="shared" si="18"/>
        <v>7.59222E+17</v>
      </c>
      <c r="Q139" s="187">
        <f t="shared" si="19"/>
        <v>1559.9999999999998</v>
      </c>
      <c r="R139" s="219">
        <f t="shared" si="20"/>
        <v>3.4319999999999999</v>
      </c>
      <c r="S139" s="219">
        <f t="shared" si="21"/>
        <v>1.5599999999999998</v>
      </c>
      <c r="T139" s="219">
        <f t="shared" si="22"/>
        <v>24.959999999999997</v>
      </c>
      <c r="U139" s="219">
        <f t="shared" si="23"/>
        <v>0.15854279999999998</v>
      </c>
      <c r="V139" s="188">
        <f t="shared" si="24"/>
        <v>3.2213999999999996E+16</v>
      </c>
      <c r="W139" s="323">
        <v>0.11</v>
      </c>
      <c r="X139" s="323">
        <v>7.8E-2</v>
      </c>
      <c r="Y139" s="323">
        <v>5.2999999999999999E-2</v>
      </c>
      <c r="Z139" s="323">
        <v>2.5999999999999999E-2</v>
      </c>
      <c r="AA139" s="323">
        <v>8.6999999999999993</v>
      </c>
      <c r="AB139" s="323">
        <v>7.1</v>
      </c>
      <c r="AC139" s="323">
        <v>4.5</v>
      </c>
      <c r="AD139" s="323">
        <v>2.2000000000000002</v>
      </c>
      <c r="AE139" s="323">
        <v>0.7</v>
      </c>
      <c r="AF139" s="323">
        <v>0.6</v>
      </c>
      <c r="AG139" s="323">
        <v>0.4</v>
      </c>
      <c r="AH139" s="323">
        <v>1</v>
      </c>
      <c r="AI139" s="323">
        <v>1.6</v>
      </c>
      <c r="AJ139" s="323">
        <v>1.8</v>
      </c>
      <c r="AK139" s="323">
        <v>4.5</v>
      </c>
      <c r="AL139" s="323">
        <v>16</v>
      </c>
      <c r="AM139" s="323">
        <v>0.4158</v>
      </c>
      <c r="AN139" s="323">
        <v>0.4128</v>
      </c>
      <c r="AO139" s="323">
        <v>0.2492</v>
      </c>
      <c r="AP139" s="323">
        <v>4.65E-2</v>
      </c>
      <c r="AQ139" s="323">
        <v>0.54525999999999997</v>
      </c>
      <c r="AR139" s="323">
        <v>0.50736000000000003</v>
      </c>
      <c r="AS139" s="323">
        <v>0.32066</v>
      </c>
      <c r="AT139" s="323">
        <v>0.10163</v>
      </c>
      <c r="AU139" s="190">
        <v>1.0625E+16</v>
      </c>
      <c r="AV139" s="190">
        <v>1.491E+16</v>
      </c>
      <c r="AW139" s="190">
        <v>3.144E+16</v>
      </c>
      <c r="AX139" s="190">
        <v>2.065E+16</v>
      </c>
      <c r="AY139" s="203">
        <v>0.7</v>
      </c>
      <c r="BA139" s="203">
        <v>2008</v>
      </c>
      <c r="BB139" s="204">
        <v>41765</v>
      </c>
      <c r="BC139" s="203" t="s">
        <v>3077</v>
      </c>
    </row>
    <row r="140" spans="1:56" x14ac:dyDescent="0.2">
      <c r="A140" s="193" t="s">
        <v>1004</v>
      </c>
      <c r="B140" s="193" t="s">
        <v>1004</v>
      </c>
      <c r="C140" s="184" t="s">
        <v>1008</v>
      </c>
      <c r="D140" s="185" t="s">
        <v>812</v>
      </c>
      <c r="E140" s="184" t="s">
        <v>1006</v>
      </c>
      <c r="F140" s="184" t="s">
        <v>1007</v>
      </c>
      <c r="G140" s="186">
        <f>IF(ALECA_Input!$F$13="ICAO (3000ft)",'Aircraft Calc'!C$218,'Aircraft Calc'!G$218)</f>
        <v>0</v>
      </c>
      <c r="H140" s="186">
        <f>IF(ALECA_Input!$F$13="ICAO (3000ft)",'Aircraft Calc'!D$218,'Aircraft Calc'!H$218)</f>
        <v>3</v>
      </c>
      <c r="I140" s="186">
        <f>IF(ALECA_Input!$F$13="ICAO (3000ft)",'Aircraft Calc'!E$218,'Aircraft Calc'!I$218)</f>
        <v>5.5</v>
      </c>
      <c r="J140" s="186">
        <v>1</v>
      </c>
      <c r="K140" s="187">
        <f t="shared" si="13"/>
        <v>3.5910000000000002</v>
      </c>
      <c r="L140" s="187">
        <f t="shared" si="14"/>
        <v>9.2340000000000026E-3</v>
      </c>
      <c r="M140" s="187">
        <f t="shared" si="15"/>
        <v>5.5335600000000006E-2</v>
      </c>
      <c r="N140" s="187">
        <f t="shared" si="16"/>
        <v>3.5910000000000002</v>
      </c>
      <c r="O140" s="187">
        <f t="shared" si="17"/>
        <v>4.0136111100000007E-3</v>
      </c>
      <c r="P140" s="188">
        <f t="shared" si="18"/>
        <v>298340044735463.88</v>
      </c>
      <c r="Q140" s="187">
        <f t="shared" si="19"/>
        <v>120</v>
      </c>
      <c r="R140" s="219">
        <f t="shared" si="20"/>
        <v>0.12</v>
      </c>
      <c r="S140" s="219">
        <f t="shared" si="21"/>
        <v>2.9159999999999999</v>
      </c>
      <c r="T140" s="219">
        <f t="shared" si="22"/>
        <v>120</v>
      </c>
      <c r="U140" s="219">
        <f t="shared" si="23"/>
        <v>3.2866920000000001E-2</v>
      </c>
      <c r="V140" s="188">
        <f t="shared" si="24"/>
        <v>34681110134029.59</v>
      </c>
      <c r="W140" s="323">
        <v>9.4999999999999998E-3</v>
      </c>
      <c r="X140" s="323">
        <v>9.4999999999999998E-3</v>
      </c>
      <c r="Y140" s="323">
        <v>5.7000000000000002E-3</v>
      </c>
      <c r="Z140" s="323">
        <v>2E-3</v>
      </c>
      <c r="AA140" s="323">
        <v>1</v>
      </c>
      <c r="AB140" s="323">
        <v>1</v>
      </c>
      <c r="AC140" s="323">
        <v>4</v>
      </c>
      <c r="AD140" s="323">
        <v>1</v>
      </c>
      <c r="AE140" s="323">
        <v>14.1</v>
      </c>
      <c r="AF140" s="323">
        <v>14.1</v>
      </c>
      <c r="AG140" s="323">
        <v>16.600000000000001</v>
      </c>
      <c r="AH140" s="323">
        <v>24.3</v>
      </c>
      <c r="AI140" s="323">
        <v>1000</v>
      </c>
      <c r="AJ140" s="323">
        <v>1000</v>
      </c>
      <c r="AK140" s="323">
        <v>1000</v>
      </c>
      <c r="AL140" s="323">
        <v>1000</v>
      </c>
      <c r="AM140" s="323">
        <v>0.11</v>
      </c>
      <c r="AN140" s="323">
        <v>8.4000000000000005E-2</v>
      </c>
      <c r="AO140" s="323">
        <v>5.6000000000000001E-2</v>
      </c>
      <c r="AP140" s="323">
        <v>7.4999999999999997E-2</v>
      </c>
      <c r="AQ140" s="323">
        <v>1.7804599999999999</v>
      </c>
      <c r="AR140" s="323">
        <v>1.2045600000000001</v>
      </c>
      <c r="AS140" s="323">
        <v>1.03871</v>
      </c>
      <c r="AT140" s="323">
        <v>0.273891</v>
      </c>
      <c r="AU140" s="190">
        <v>199438848553106.91</v>
      </c>
      <c r="AV140" s="190">
        <v>152298757076918</v>
      </c>
      <c r="AW140" s="190">
        <v>20153732128619.93</v>
      </c>
      <c r="AX140" s="190">
        <v>289009251116913.25</v>
      </c>
      <c r="AY140" s="203">
        <v>0.2</v>
      </c>
      <c r="BA140" s="203">
        <v>2006</v>
      </c>
      <c r="BB140" s="204">
        <v>39937</v>
      </c>
      <c r="BC140" s="203" t="s">
        <v>1009</v>
      </c>
      <c r="BD140" s="185" t="s">
        <v>1005</v>
      </c>
    </row>
    <row r="141" spans="1:56" x14ac:dyDescent="0.2">
      <c r="A141" s="193" t="s">
        <v>1010</v>
      </c>
      <c r="B141" s="193" t="s">
        <v>1010</v>
      </c>
      <c r="C141" s="184" t="s">
        <v>1008</v>
      </c>
      <c r="D141" s="185" t="s">
        <v>812</v>
      </c>
      <c r="E141" s="184" t="s">
        <v>1011</v>
      </c>
      <c r="F141" s="184" t="s">
        <v>1012</v>
      </c>
      <c r="G141" s="186">
        <f>IF(ALECA_Input!$F$13="ICAO (3000ft)",'Aircraft Calc'!C$218,'Aircraft Calc'!G$218)</f>
        <v>0</v>
      </c>
      <c r="H141" s="186">
        <f>IF(ALECA_Input!$F$13="ICAO (3000ft)",'Aircraft Calc'!D$218,'Aircraft Calc'!H$218)</f>
        <v>3</v>
      </c>
      <c r="I141" s="186">
        <f>IF(ALECA_Input!$F$13="ICAO (3000ft)",'Aircraft Calc'!E$218,'Aircraft Calc'!I$218)</f>
        <v>5.5</v>
      </c>
      <c r="J141" s="186">
        <v>1</v>
      </c>
      <c r="K141" s="187">
        <f t="shared" si="13"/>
        <v>4.4160000000000004</v>
      </c>
      <c r="L141" s="187">
        <f t="shared" si="14"/>
        <v>1.1346E-2</v>
      </c>
      <c r="M141" s="187">
        <f t="shared" si="15"/>
        <v>6.3604199999999986E-2</v>
      </c>
      <c r="N141" s="187">
        <f t="shared" si="16"/>
        <v>4.4160000000000004</v>
      </c>
      <c r="O141" s="187">
        <f t="shared" si="17"/>
        <v>4.6492418100000004E-3</v>
      </c>
      <c r="P141" s="188">
        <f t="shared" si="18"/>
        <v>367296303621101.38</v>
      </c>
      <c r="Q141" s="187">
        <f t="shared" si="19"/>
        <v>138</v>
      </c>
      <c r="R141" s="219">
        <f t="shared" si="20"/>
        <v>0.13800000000000001</v>
      </c>
      <c r="S141" s="219">
        <f t="shared" si="21"/>
        <v>3.1464000000000003</v>
      </c>
      <c r="T141" s="219">
        <f t="shared" si="22"/>
        <v>138</v>
      </c>
      <c r="U141" s="219">
        <f t="shared" si="23"/>
        <v>3.6519768000000001E-2</v>
      </c>
      <c r="V141" s="188">
        <f t="shared" si="24"/>
        <v>39883276654134.031</v>
      </c>
      <c r="W141" s="323">
        <v>1.17E-2</v>
      </c>
      <c r="X141" s="323">
        <v>1.17E-2</v>
      </c>
      <c r="Y141" s="323">
        <v>7.0000000000000001E-3</v>
      </c>
      <c r="Z141" s="323">
        <v>2.3E-3</v>
      </c>
      <c r="AA141" s="323">
        <v>1</v>
      </c>
      <c r="AB141" s="323">
        <v>1</v>
      </c>
      <c r="AC141" s="323">
        <v>4</v>
      </c>
      <c r="AD141" s="323">
        <v>1</v>
      </c>
      <c r="AE141" s="323">
        <v>13.2</v>
      </c>
      <c r="AF141" s="323">
        <v>13.2</v>
      </c>
      <c r="AG141" s="323">
        <v>15.5</v>
      </c>
      <c r="AH141" s="323">
        <v>22.8</v>
      </c>
      <c r="AI141" s="323">
        <v>1000</v>
      </c>
      <c r="AJ141" s="323">
        <v>1000</v>
      </c>
      <c r="AK141" s="323">
        <v>1000</v>
      </c>
      <c r="AL141" s="323">
        <v>1000</v>
      </c>
      <c r="AM141" s="323">
        <v>0.11</v>
      </c>
      <c r="AN141" s="323">
        <v>8.4000000000000005E-2</v>
      </c>
      <c r="AO141" s="323">
        <v>5.6000000000000001E-2</v>
      </c>
      <c r="AP141" s="323">
        <v>7.4999999999999997E-2</v>
      </c>
      <c r="AQ141" s="323">
        <v>1.67696</v>
      </c>
      <c r="AR141" s="323">
        <v>1.1361600000000001</v>
      </c>
      <c r="AS141" s="323">
        <v>0.97683500000000001</v>
      </c>
      <c r="AT141" s="323">
        <v>0.26463599999999998</v>
      </c>
      <c r="AU141" s="190">
        <v>199438848553106.91</v>
      </c>
      <c r="AV141" s="190">
        <v>152298757076918</v>
      </c>
      <c r="AW141" s="190">
        <v>20153732128619.93</v>
      </c>
      <c r="AX141" s="190">
        <v>289009251116913.25</v>
      </c>
      <c r="AY141" s="203">
        <v>0.2</v>
      </c>
      <c r="BA141" s="203">
        <v>2005</v>
      </c>
      <c r="BB141" s="204">
        <v>39937</v>
      </c>
      <c r="BC141" s="203" t="s">
        <v>1009</v>
      </c>
      <c r="BD141" s="185" t="s">
        <v>1005</v>
      </c>
    </row>
    <row r="142" spans="1:56" x14ac:dyDescent="0.2">
      <c r="A142" s="193" t="s">
        <v>1013</v>
      </c>
      <c r="B142" s="193" t="s">
        <v>1013</v>
      </c>
      <c r="C142" s="184" t="s">
        <v>1008</v>
      </c>
      <c r="D142" s="185" t="s">
        <v>812</v>
      </c>
      <c r="E142" s="184" t="s">
        <v>1014</v>
      </c>
      <c r="F142" s="184" t="s">
        <v>1015</v>
      </c>
      <c r="G142" s="186">
        <f>IF(ALECA_Input!$F$13="ICAO (3000ft)",'Aircraft Calc'!C$218,'Aircraft Calc'!G$218)</f>
        <v>0</v>
      </c>
      <c r="H142" s="186">
        <f>IF(ALECA_Input!$F$13="ICAO (3000ft)",'Aircraft Calc'!D$218,'Aircraft Calc'!H$218)</f>
        <v>3</v>
      </c>
      <c r="I142" s="186">
        <f>IF(ALECA_Input!$F$13="ICAO (3000ft)",'Aircraft Calc'!E$218,'Aircraft Calc'!I$218)</f>
        <v>5.5</v>
      </c>
      <c r="J142" s="186">
        <v>1</v>
      </c>
      <c r="K142" s="187">
        <f t="shared" si="13"/>
        <v>4.6739999999999995</v>
      </c>
      <c r="L142" s="187">
        <f t="shared" si="14"/>
        <v>1.2E-2</v>
      </c>
      <c r="M142" s="187">
        <f t="shared" si="15"/>
        <v>6.6134399999999996E-2</v>
      </c>
      <c r="N142" s="187">
        <f t="shared" si="16"/>
        <v>4.6740000000000004</v>
      </c>
      <c r="O142" s="187">
        <f t="shared" si="17"/>
        <v>6.7670450400000009E-3</v>
      </c>
      <c r="P142" s="188">
        <f t="shared" si="18"/>
        <v>1586423604070926</v>
      </c>
      <c r="Q142" s="187">
        <f t="shared" si="19"/>
        <v>144</v>
      </c>
      <c r="R142" s="219">
        <f t="shared" si="20"/>
        <v>0.14399999999999999</v>
      </c>
      <c r="S142" s="219">
        <f t="shared" si="21"/>
        <v>3.2255999999999996</v>
      </c>
      <c r="T142" s="219">
        <f t="shared" si="22"/>
        <v>144</v>
      </c>
      <c r="U142" s="219">
        <f t="shared" si="23"/>
        <v>4.8552192000000001E-2</v>
      </c>
      <c r="V142" s="188">
        <f t="shared" si="24"/>
        <v>83234664321671.016</v>
      </c>
      <c r="W142" s="323">
        <v>1.24E-2</v>
      </c>
      <c r="X142" s="323">
        <v>1.24E-2</v>
      </c>
      <c r="Y142" s="323">
        <v>7.4000000000000003E-3</v>
      </c>
      <c r="Z142" s="323">
        <v>2.3999999999999998E-3</v>
      </c>
      <c r="AA142" s="323">
        <v>1</v>
      </c>
      <c r="AB142" s="323">
        <v>1</v>
      </c>
      <c r="AC142" s="323">
        <v>4</v>
      </c>
      <c r="AD142" s="323">
        <v>1</v>
      </c>
      <c r="AE142" s="323">
        <v>13</v>
      </c>
      <c r="AF142" s="323">
        <v>13</v>
      </c>
      <c r="AG142" s="323">
        <v>15.2</v>
      </c>
      <c r="AH142" s="323">
        <v>22.4</v>
      </c>
      <c r="AI142" s="323">
        <v>1000</v>
      </c>
      <c r="AJ142" s="323">
        <v>1000</v>
      </c>
      <c r="AK142" s="323">
        <v>1000</v>
      </c>
      <c r="AL142" s="323">
        <v>1000</v>
      </c>
      <c r="AM142" s="323">
        <v>0.11</v>
      </c>
      <c r="AN142" s="323">
        <v>0.24</v>
      </c>
      <c r="AO142" s="323">
        <v>0.7</v>
      </c>
      <c r="AP142" s="323">
        <v>0.15</v>
      </c>
      <c r="AQ142" s="323">
        <v>1.6539600000000001</v>
      </c>
      <c r="AR142" s="323">
        <v>1.2769600000000001</v>
      </c>
      <c r="AS142" s="323">
        <v>1.6039600000000001</v>
      </c>
      <c r="AT142" s="323">
        <v>0.33716800000000002</v>
      </c>
      <c r="AU142" s="190">
        <v>199438848553106.91</v>
      </c>
      <c r="AV142" s="190">
        <v>435139305934051.44</v>
      </c>
      <c r="AW142" s="190">
        <v>251921651607749.09</v>
      </c>
      <c r="AX142" s="190">
        <v>578018502233826.5</v>
      </c>
      <c r="AY142" s="203">
        <v>0.2</v>
      </c>
      <c r="BA142" s="203">
        <v>2005</v>
      </c>
      <c r="BB142" s="204">
        <v>39937</v>
      </c>
      <c r="BC142" s="203" t="s">
        <v>1009</v>
      </c>
      <c r="BD142" s="185" t="s">
        <v>1005</v>
      </c>
    </row>
    <row r="143" spans="1:56" x14ac:dyDescent="0.2">
      <c r="A143" s="193" t="s">
        <v>1016</v>
      </c>
      <c r="B143" s="193" t="s">
        <v>1016</v>
      </c>
      <c r="C143" s="184" t="s">
        <v>1008</v>
      </c>
      <c r="D143" s="185" t="s">
        <v>812</v>
      </c>
      <c r="E143" s="184" t="s">
        <v>1017</v>
      </c>
      <c r="F143" s="184" t="s">
        <v>1018</v>
      </c>
      <c r="G143" s="186">
        <f>IF(ALECA_Input!$F$13="ICAO (3000ft)",'Aircraft Calc'!C$218,'Aircraft Calc'!G$218)</f>
        <v>0</v>
      </c>
      <c r="H143" s="186">
        <f>IF(ALECA_Input!$F$13="ICAO (3000ft)",'Aircraft Calc'!D$218,'Aircraft Calc'!H$218)</f>
        <v>3</v>
      </c>
      <c r="I143" s="186">
        <f>IF(ALECA_Input!$F$13="ICAO (3000ft)",'Aircraft Calc'!E$218,'Aircraft Calc'!I$218)</f>
        <v>5.5</v>
      </c>
      <c r="J143" s="186">
        <v>1</v>
      </c>
      <c r="K143" s="187">
        <f t="shared" si="13"/>
        <v>6</v>
      </c>
      <c r="L143" s="187">
        <f t="shared" si="14"/>
        <v>1.5306E-2</v>
      </c>
      <c r="M143" s="187">
        <f t="shared" si="15"/>
        <v>7.8803999999999999E-2</v>
      </c>
      <c r="N143" s="187">
        <f t="shared" si="16"/>
        <v>6</v>
      </c>
      <c r="O143" s="187">
        <f t="shared" si="17"/>
        <v>8.2859545500000003E-3</v>
      </c>
      <c r="P143" s="188">
        <f t="shared" si="18"/>
        <v>2042494671884118.8</v>
      </c>
      <c r="Q143" s="187">
        <f t="shared" si="19"/>
        <v>180</v>
      </c>
      <c r="R143" s="219">
        <f t="shared" si="20"/>
        <v>0.18</v>
      </c>
      <c r="S143" s="219">
        <f t="shared" si="21"/>
        <v>3.7439999999999998</v>
      </c>
      <c r="T143" s="219">
        <f t="shared" si="22"/>
        <v>180</v>
      </c>
      <c r="U143" s="219">
        <f t="shared" si="23"/>
        <v>5.8913279999999991E-2</v>
      </c>
      <c r="V143" s="188">
        <f t="shared" si="24"/>
        <v>104043330402088.77</v>
      </c>
      <c r="W143" s="323">
        <v>1.61E-2</v>
      </c>
      <c r="X143" s="323">
        <v>1.61E-2</v>
      </c>
      <c r="Y143" s="323">
        <v>9.4000000000000004E-3</v>
      </c>
      <c r="Z143" s="323">
        <v>3.0000000000000001E-3</v>
      </c>
      <c r="AA143" s="323">
        <v>1</v>
      </c>
      <c r="AB143" s="323">
        <v>1</v>
      </c>
      <c r="AC143" s="323">
        <v>4</v>
      </c>
      <c r="AD143" s="323">
        <v>1</v>
      </c>
      <c r="AE143" s="323">
        <v>12.1</v>
      </c>
      <c r="AF143" s="323">
        <v>12.1</v>
      </c>
      <c r="AG143" s="323">
        <v>14.1</v>
      </c>
      <c r="AH143" s="323">
        <v>20.8</v>
      </c>
      <c r="AI143" s="323">
        <v>1000</v>
      </c>
      <c r="AJ143" s="323">
        <v>1000</v>
      </c>
      <c r="AK143" s="323">
        <v>1000</v>
      </c>
      <c r="AL143" s="323">
        <v>1000</v>
      </c>
      <c r="AM143" s="323">
        <v>0.11</v>
      </c>
      <c r="AN143" s="323">
        <v>0.24</v>
      </c>
      <c r="AO143" s="323">
        <v>0.7</v>
      </c>
      <c r="AP143" s="323">
        <v>0.15</v>
      </c>
      <c r="AQ143" s="323">
        <v>1.5504599999999999</v>
      </c>
      <c r="AR143" s="323">
        <v>1.2085600000000001</v>
      </c>
      <c r="AS143" s="323">
        <v>1.5420849999999999</v>
      </c>
      <c r="AT143" s="323">
        <v>0.32729599999999998</v>
      </c>
      <c r="AU143" s="190">
        <v>199438848553106.91</v>
      </c>
      <c r="AV143" s="190">
        <v>435139305934051.44</v>
      </c>
      <c r="AW143" s="190">
        <v>251921651607749.09</v>
      </c>
      <c r="AX143" s="190">
        <v>578018502233826.5</v>
      </c>
      <c r="AY143" s="203">
        <v>0.4</v>
      </c>
      <c r="BA143" s="203">
        <v>2006</v>
      </c>
      <c r="BB143" s="204">
        <v>39937</v>
      </c>
      <c r="BC143" s="203" t="s">
        <v>1009</v>
      </c>
      <c r="BD143" s="185" t="s">
        <v>1005</v>
      </c>
    </row>
    <row r="144" spans="1:56" x14ac:dyDescent="0.2">
      <c r="A144" s="193" t="s">
        <v>1019</v>
      </c>
      <c r="B144" s="193" t="s">
        <v>1019</v>
      </c>
      <c r="C144" s="184" t="s">
        <v>1008</v>
      </c>
      <c r="D144" s="185" t="s">
        <v>812</v>
      </c>
      <c r="E144" s="184" t="s">
        <v>1020</v>
      </c>
      <c r="F144" s="184" t="s">
        <v>1021</v>
      </c>
      <c r="G144" s="186">
        <f>IF(ALECA_Input!$F$13="ICAO (3000ft)",'Aircraft Calc'!C$218,'Aircraft Calc'!G$218)</f>
        <v>0</v>
      </c>
      <c r="H144" s="186">
        <f>IF(ALECA_Input!$F$13="ICAO (3000ft)",'Aircraft Calc'!D$218,'Aircraft Calc'!H$218)</f>
        <v>3</v>
      </c>
      <c r="I144" s="186">
        <f>IF(ALECA_Input!$F$13="ICAO (3000ft)",'Aircraft Calc'!E$218,'Aircraft Calc'!I$218)</f>
        <v>5.5</v>
      </c>
      <c r="J144" s="186">
        <v>1</v>
      </c>
      <c r="K144" s="187">
        <f t="shared" si="13"/>
        <v>6.2940000000000005</v>
      </c>
      <c r="L144" s="187">
        <f t="shared" si="14"/>
        <v>1.5996E-2</v>
      </c>
      <c r="M144" s="187">
        <f t="shared" si="15"/>
        <v>8.1366600000000011E-2</v>
      </c>
      <c r="N144" s="187">
        <f t="shared" si="16"/>
        <v>6.2939999999999996</v>
      </c>
      <c r="O144" s="187">
        <f t="shared" si="17"/>
        <v>8.6024019900000012E-3</v>
      </c>
      <c r="P144" s="188">
        <f t="shared" si="18"/>
        <v>2146240897457658</v>
      </c>
      <c r="Q144" s="187">
        <f t="shared" si="19"/>
        <v>186</v>
      </c>
      <c r="R144" s="219">
        <f t="shared" si="20"/>
        <v>0.186</v>
      </c>
      <c r="S144" s="219">
        <f t="shared" si="21"/>
        <v>3.8130000000000002</v>
      </c>
      <c r="T144" s="219">
        <f t="shared" si="22"/>
        <v>186</v>
      </c>
      <c r="U144" s="219">
        <f t="shared" si="23"/>
        <v>6.053277E-2</v>
      </c>
      <c r="V144" s="188">
        <f t="shared" si="24"/>
        <v>107511441415491.73</v>
      </c>
      <c r="W144" s="323">
        <v>1.7000000000000001E-2</v>
      </c>
      <c r="X144" s="323">
        <v>1.7000000000000001E-2</v>
      </c>
      <c r="Y144" s="323">
        <v>9.7999999999999997E-3</v>
      </c>
      <c r="Z144" s="323">
        <v>3.0999999999999999E-3</v>
      </c>
      <c r="AA144" s="323">
        <v>1</v>
      </c>
      <c r="AB144" s="323">
        <v>1</v>
      </c>
      <c r="AC144" s="323">
        <v>4</v>
      </c>
      <c r="AD144" s="323">
        <v>1</v>
      </c>
      <c r="AE144" s="323">
        <v>11.9</v>
      </c>
      <c r="AF144" s="323">
        <v>11.9</v>
      </c>
      <c r="AG144" s="323">
        <v>13.9</v>
      </c>
      <c r="AH144" s="323">
        <v>20.5</v>
      </c>
      <c r="AI144" s="323">
        <v>1000</v>
      </c>
      <c r="AJ144" s="323">
        <v>1000</v>
      </c>
      <c r="AK144" s="323">
        <v>1000</v>
      </c>
      <c r="AL144" s="323">
        <v>1000</v>
      </c>
      <c r="AM144" s="323">
        <v>0.11</v>
      </c>
      <c r="AN144" s="323">
        <v>0.24</v>
      </c>
      <c r="AO144" s="323">
        <v>0.7</v>
      </c>
      <c r="AP144" s="323">
        <v>0.15</v>
      </c>
      <c r="AQ144" s="323">
        <v>1.52746</v>
      </c>
      <c r="AR144" s="323">
        <v>1.19336</v>
      </c>
      <c r="AS144" s="323">
        <v>1.5308349999999999</v>
      </c>
      <c r="AT144" s="323">
        <v>0.32544499999999998</v>
      </c>
      <c r="AU144" s="190">
        <v>199438848553106.91</v>
      </c>
      <c r="AV144" s="190">
        <v>435139305934051.44</v>
      </c>
      <c r="AW144" s="190">
        <v>251921651607749.09</v>
      </c>
      <c r="AX144" s="190">
        <v>578018502233826.5</v>
      </c>
      <c r="AY144" s="203">
        <v>0.4</v>
      </c>
      <c r="BA144" s="203">
        <v>2006</v>
      </c>
      <c r="BB144" s="204">
        <v>39937</v>
      </c>
      <c r="BC144" s="203" t="s">
        <v>1009</v>
      </c>
      <c r="BD144" s="185" t="s">
        <v>1005</v>
      </c>
    </row>
    <row r="145" spans="1:56" x14ac:dyDescent="0.2">
      <c r="A145" s="193" t="s">
        <v>1022</v>
      </c>
      <c r="B145" s="193" t="s">
        <v>1022</v>
      </c>
      <c r="C145" s="184" t="s">
        <v>1025</v>
      </c>
      <c r="D145" s="185" t="s">
        <v>812</v>
      </c>
      <c r="E145" s="184" t="s">
        <v>1023</v>
      </c>
      <c r="F145" s="184" t="s">
        <v>1024</v>
      </c>
      <c r="G145" s="186">
        <f>IF(ALECA_Input!$F$13="ICAO (3000ft)",'Aircraft Calc'!C$218,'Aircraft Calc'!G$218)</f>
        <v>0</v>
      </c>
      <c r="H145" s="186">
        <f>IF(ALECA_Input!$F$13="ICAO (3000ft)",'Aircraft Calc'!D$218,'Aircraft Calc'!H$218)</f>
        <v>3</v>
      </c>
      <c r="I145" s="186">
        <f>IF(ALECA_Input!$F$13="ICAO (3000ft)",'Aircraft Calc'!E$218,'Aircraft Calc'!I$218)</f>
        <v>5.5</v>
      </c>
      <c r="J145" s="186">
        <v>1</v>
      </c>
      <c r="K145" s="187">
        <f t="shared" si="13"/>
        <v>1.1760000000000002</v>
      </c>
      <c r="L145" s="187">
        <f t="shared" si="14"/>
        <v>1.1760000000000002E-3</v>
      </c>
      <c r="M145" s="187">
        <f t="shared" si="15"/>
        <v>0.51576</v>
      </c>
      <c r="N145" s="187">
        <f t="shared" si="16"/>
        <v>1.1024400000000001</v>
      </c>
      <c r="O145" s="187">
        <f t="shared" si="17"/>
        <v>3.5756268959999997E-2</v>
      </c>
      <c r="P145" s="188">
        <f t="shared" si="18"/>
        <v>1675880615324109.8</v>
      </c>
      <c r="Q145" s="187">
        <f t="shared" si="19"/>
        <v>36</v>
      </c>
      <c r="R145" s="219">
        <f t="shared" si="20"/>
        <v>0</v>
      </c>
      <c r="S145" s="219">
        <f t="shared" si="21"/>
        <v>15.947999999999999</v>
      </c>
      <c r="T145" s="219">
        <f t="shared" si="22"/>
        <v>18.54</v>
      </c>
      <c r="U145" s="219">
        <f t="shared" si="23"/>
        <v>0.15416171999999997</v>
      </c>
      <c r="V145" s="188">
        <f t="shared" si="24"/>
        <v>208086660804177.5</v>
      </c>
      <c r="W145" s="323">
        <v>4.0000000000000001E-3</v>
      </c>
      <c r="X145" s="323">
        <v>3.5999999999999999E-3</v>
      </c>
      <c r="Y145" s="323">
        <v>1.6000000000000001E-3</v>
      </c>
      <c r="Z145" s="323">
        <v>5.9999999999999995E-4</v>
      </c>
      <c r="AA145" s="323">
        <v>4</v>
      </c>
      <c r="AB145" s="323">
        <v>1</v>
      </c>
      <c r="AC145" s="323">
        <v>1</v>
      </c>
      <c r="AD145" s="323">
        <v>0</v>
      </c>
      <c r="AE145" s="323">
        <v>380</v>
      </c>
      <c r="AF145" s="323">
        <v>404</v>
      </c>
      <c r="AG145" s="323">
        <v>481</v>
      </c>
      <c r="AH145" s="323">
        <v>443</v>
      </c>
      <c r="AI145" s="323">
        <v>826</v>
      </c>
      <c r="AJ145" s="323">
        <v>1047</v>
      </c>
      <c r="AK145" s="323">
        <v>803</v>
      </c>
      <c r="AL145" s="323">
        <v>515</v>
      </c>
      <c r="AM145" s="323">
        <v>1.1000000000000001</v>
      </c>
      <c r="AN145" s="323">
        <v>1.2</v>
      </c>
      <c r="AO145" s="323">
        <v>1.4</v>
      </c>
      <c r="AP145" s="323">
        <v>1.5</v>
      </c>
      <c r="AQ145" s="323">
        <v>44.848959999999998</v>
      </c>
      <c r="AR145" s="323">
        <v>31.952960000000001</v>
      </c>
      <c r="AS145" s="323">
        <v>28.505210000000002</v>
      </c>
      <c r="AT145" s="323">
        <v>4.2822699999999996</v>
      </c>
      <c r="AU145" s="190">
        <v>1994388485531069</v>
      </c>
      <c r="AV145" s="190">
        <v>2175696529670257.3</v>
      </c>
      <c r="AW145" s="190">
        <v>503843303215498.19</v>
      </c>
      <c r="AX145" s="190">
        <v>5780185022338264</v>
      </c>
      <c r="AY145" s="203">
        <v>0.2</v>
      </c>
      <c r="BA145" s="203">
        <v>2000</v>
      </c>
      <c r="BB145" s="204">
        <v>39736</v>
      </c>
      <c r="BC145" s="203" t="s">
        <v>1026</v>
      </c>
      <c r="BD145" s="185" t="s">
        <v>1005</v>
      </c>
    </row>
    <row r="146" spans="1:56" x14ac:dyDescent="0.2">
      <c r="A146" s="193" t="s">
        <v>1027</v>
      </c>
      <c r="B146" s="193" t="s">
        <v>1027</v>
      </c>
      <c r="C146" s="184" t="s">
        <v>1025</v>
      </c>
      <c r="D146" s="185" t="s">
        <v>812</v>
      </c>
      <c r="E146" s="184" t="s">
        <v>1028</v>
      </c>
      <c r="F146" s="184" t="s">
        <v>1029</v>
      </c>
      <c r="G146" s="186">
        <f>IF(ALECA_Input!$F$13="ICAO (3000ft)",'Aircraft Calc'!C$218,'Aircraft Calc'!G$218)</f>
        <v>0</v>
      </c>
      <c r="H146" s="186">
        <f>IF(ALECA_Input!$F$13="ICAO (3000ft)",'Aircraft Calc'!D$218,'Aircraft Calc'!H$218)</f>
        <v>3</v>
      </c>
      <c r="I146" s="186">
        <f>IF(ALECA_Input!$F$13="ICAO (3000ft)",'Aircraft Calc'!E$218,'Aircraft Calc'!I$218)</f>
        <v>5.5</v>
      </c>
      <c r="J146" s="186">
        <v>1</v>
      </c>
      <c r="K146" s="187">
        <f t="shared" si="13"/>
        <v>1.5005999999999999</v>
      </c>
      <c r="L146" s="187">
        <f t="shared" si="14"/>
        <v>2.7156642000000002E-2</v>
      </c>
      <c r="M146" s="187">
        <f t="shared" si="15"/>
        <v>3.3346380000000002E-2</v>
      </c>
      <c r="N146" s="187">
        <f t="shared" si="16"/>
        <v>1.0523016000000001</v>
      </c>
      <c r="O146" s="187">
        <f t="shared" si="17"/>
        <v>2.2493716710000004E-3</v>
      </c>
      <c r="P146" s="188">
        <f t="shared" si="18"/>
        <v>3609410159947.4888</v>
      </c>
      <c r="Q146" s="187">
        <f t="shared" si="19"/>
        <v>30</v>
      </c>
      <c r="R146" s="219">
        <f t="shared" si="20"/>
        <v>2.58E-2</v>
      </c>
      <c r="S146" s="219">
        <f t="shared" si="21"/>
        <v>1.5629999999999999</v>
      </c>
      <c r="T146" s="219">
        <f t="shared" si="22"/>
        <v>38.43</v>
      </c>
      <c r="U146" s="219">
        <f t="shared" si="23"/>
        <v>1.1157509999999999E-2</v>
      </c>
      <c r="V146" s="188">
        <f t="shared" si="24"/>
        <v>173405550670.14792</v>
      </c>
      <c r="W146" s="323">
        <v>5.3400000000000001E-3</v>
      </c>
      <c r="X146" s="323">
        <v>4.1200000000000004E-3</v>
      </c>
      <c r="Y146" s="323">
        <v>2.3E-3</v>
      </c>
      <c r="Z146" s="323">
        <v>5.0000000000000001E-4</v>
      </c>
      <c r="AA146" s="323">
        <v>40.35</v>
      </c>
      <c r="AB146" s="323">
        <v>30.12</v>
      </c>
      <c r="AC146" s="323">
        <v>6.35</v>
      </c>
      <c r="AD146" s="323">
        <v>0.86</v>
      </c>
      <c r="AE146" s="323">
        <v>13.3</v>
      </c>
      <c r="AF146" s="323">
        <v>20.3</v>
      </c>
      <c r="AG146" s="323">
        <v>24.1</v>
      </c>
      <c r="AH146" s="323">
        <v>52.1</v>
      </c>
      <c r="AI146" s="323">
        <v>531</v>
      </c>
      <c r="AJ146" s="323">
        <v>461</v>
      </c>
      <c r="AK146" s="323">
        <v>936</v>
      </c>
      <c r="AL146" s="323">
        <v>1281</v>
      </c>
      <c r="AM146" s="323">
        <v>3.3E-3</v>
      </c>
      <c r="AN146" s="323">
        <v>2.3999999999999998E-3</v>
      </c>
      <c r="AO146" s="323">
        <v>1.4E-3</v>
      </c>
      <c r="AP146" s="323">
        <v>1.5E-3</v>
      </c>
      <c r="AQ146" s="323">
        <v>1.5817600000000001</v>
      </c>
      <c r="AR146" s="323">
        <v>1.59416</v>
      </c>
      <c r="AS146" s="323">
        <v>1.405985</v>
      </c>
      <c r="AT146" s="323">
        <v>0.371917</v>
      </c>
      <c r="AU146" s="190">
        <v>5983165456593.208</v>
      </c>
      <c r="AV146" s="190">
        <v>4351393059340.5146</v>
      </c>
      <c r="AW146" s="190">
        <v>503843303215.49817</v>
      </c>
      <c r="AX146" s="190">
        <v>5780185022338.2646</v>
      </c>
      <c r="AY146" s="203">
        <v>0.1</v>
      </c>
      <c r="BA146" s="203">
        <v>2006</v>
      </c>
      <c r="BB146" s="204">
        <v>39736</v>
      </c>
      <c r="BC146" s="203" t="s">
        <v>1030</v>
      </c>
      <c r="BD146" s="185" t="s">
        <v>1005</v>
      </c>
    </row>
    <row r="147" spans="1:56" x14ac:dyDescent="0.2">
      <c r="A147" s="193" t="s">
        <v>1031</v>
      </c>
      <c r="B147" s="193" t="s">
        <v>1031</v>
      </c>
      <c r="C147" s="184" t="s">
        <v>934</v>
      </c>
      <c r="D147" s="185" t="s">
        <v>812</v>
      </c>
      <c r="E147" s="184" t="s">
        <v>1032</v>
      </c>
      <c r="F147" s="184" t="s">
        <v>1033</v>
      </c>
      <c r="G147" s="186">
        <f>IF(ALECA_Input!$F$13="ICAO (3000ft)",'Aircraft Calc'!C$218,'Aircraft Calc'!G$218)</f>
        <v>0</v>
      </c>
      <c r="H147" s="186">
        <f>IF(ALECA_Input!$F$13="ICAO (3000ft)",'Aircraft Calc'!D$218,'Aircraft Calc'!H$218)</f>
        <v>3</v>
      </c>
      <c r="I147" s="186">
        <f>IF(ALECA_Input!$F$13="ICAO (3000ft)",'Aircraft Calc'!E$218,'Aircraft Calc'!I$218)</f>
        <v>5.5</v>
      </c>
      <c r="J147" s="186">
        <v>1</v>
      </c>
      <c r="K147" s="187">
        <f t="shared" si="13"/>
        <v>3.78</v>
      </c>
      <c r="L147" s="187">
        <f t="shared" si="14"/>
        <v>9.7199999999999995E-3</v>
      </c>
      <c r="M147" s="187">
        <f t="shared" si="15"/>
        <v>5.74362E-2</v>
      </c>
      <c r="N147" s="187">
        <f t="shared" si="16"/>
        <v>3.78</v>
      </c>
      <c r="O147" s="187">
        <f t="shared" si="17"/>
        <v>4.2439900500000002E-3</v>
      </c>
      <c r="P147" s="188">
        <f t="shared" si="18"/>
        <v>3.82428E+16</v>
      </c>
      <c r="Q147" s="187">
        <f t="shared" si="19"/>
        <v>126</v>
      </c>
      <c r="R147" s="219">
        <f t="shared" si="20"/>
        <v>0.126</v>
      </c>
      <c r="S147" s="219">
        <f t="shared" si="21"/>
        <v>2.9962800000000001</v>
      </c>
      <c r="T147" s="219">
        <f t="shared" si="22"/>
        <v>126</v>
      </c>
      <c r="U147" s="219">
        <f t="shared" si="23"/>
        <v>3.4106007600000002E-2</v>
      </c>
      <c r="V147" s="188">
        <f t="shared" si="24"/>
        <v>5627160000000000</v>
      </c>
      <c r="X147" s="323">
        <v>0.01</v>
      </c>
      <c r="Y147" s="323">
        <v>6.0000000000000001E-3</v>
      </c>
      <c r="Z147" s="323">
        <v>2.0999999999999999E-3</v>
      </c>
      <c r="AB147" s="323">
        <v>1</v>
      </c>
      <c r="AC147" s="323">
        <v>4</v>
      </c>
      <c r="AD147" s="323">
        <v>1</v>
      </c>
      <c r="AF147" s="323">
        <v>14.1</v>
      </c>
      <c r="AG147" s="323">
        <v>16.190000000000001</v>
      </c>
      <c r="AH147" s="323">
        <v>23.78</v>
      </c>
      <c r="AJ147" s="323">
        <v>1000</v>
      </c>
      <c r="AK147" s="323">
        <v>1000</v>
      </c>
      <c r="AL147" s="323">
        <v>1000</v>
      </c>
      <c r="AN147" s="323">
        <v>0.12</v>
      </c>
      <c r="AO147" s="323">
        <v>5.6000000000000001E-2</v>
      </c>
      <c r="AP147" s="323">
        <v>7.4999999999999997E-2</v>
      </c>
      <c r="AR147" s="323">
        <v>1.2405600000000001</v>
      </c>
      <c r="AS147" s="323">
        <v>1.0156475</v>
      </c>
      <c r="AT147" s="323">
        <v>0.2706826</v>
      </c>
      <c r="AV147" s="190">
        <v>4680000000000000</v>
      </c>
      <c r="AW147" s="190">
        <v>1.506E+16</v>
      </c>
      <c r="AX147" s="190">
        <v>4.466E+16</v>
      </c>
      <c r="AY147" s="203">
        <v>0.2</v>
      </c>
      <c r="BB147" s="204">
        <v>42502</v>
      </c>
      <c r="BC147" s="203" t="s">
        <v>3078</v>
      </c>
      <c r="BD147" s="185" t="s">
        <v>1005</v>
      </c>
    </row>
    <row r="148" spans="1:56" x14ac:dyDescent="0.2">
      <c r="A148" s="193" t="s">
        <v>1034</v>
      </c>
      <c r="B148" s="193" t="s">
        <v>1034</v>
      </c>
      <c r="C148" s="184" t="s">
        <v>934</v>
      </c>
      <c r="D148" s="185" t="s">
        <v>812</v>
      </c>
      <c r="E148" s="184" t="s">
        <v>1035</v>
      </c>
      <c r="F148" s="184" t="s">
        <v>1035</v>
      </c>
      <c r="G148" s="186">
        <f>IF(ALECA_Input!$F$13="ICAO (3000ft)",'Aircraft Calc'!C$218,'Aircraft Calc'!G$218)</f>
        <v>0</v>
      </c>
      <c r="H148" s="186">
        <f>IF(ALECA_Input!$F$13="ICAO (3000ft)",'Aircraft Calc'!D$218,'Aircraft Calc'!H$218)</f>
        <v>3</v>
      </c>
      <c r="I148" s="186">
        <f>IF(ALECA_Input!$F$13="ICAO (3000ft)",'Aircraft Calc'!E$218,'Aircraft Calc'!I$218)</f>
        <v>5.5</v>
      </c>
      <c r="J148" s="186">
        <v>1</v>
      </c>
      <c r="K148" s="187">
        <f t="shared" si="13"/>
        <v>3.1440000000000001</v>
      </c>
      <c r="L148" s="187">
        <f t="shared" si="14"/>
        <v>8.0939999999999988E-3</v>
      </c>
      <c r="M148" s="187">
        <f t="shared" si="15"/>
        <v>5.0472240000000002E-2</v>
      </c>
      <c r="N148" s="187">
        <f t="shared" si="16"/>
        <v>3.1440000000000001</v>
      </c>
      <c r="O148" s="187">
        <f t="shared" si="17"/>
        <v>3.698714355E-3</v>
      </c>
      <c r="P148" s="188">
        <f t="shared" si="18"/>
        <v>2.025252E+16</v>
      </c>
      <c r="Q148" s="187">
        <f t="shared" si="19"/>
        <v>108</v>
      </c>
      <c r="R148" s="219">
        <f t="shared" si="20"/>
        <v>0.108</v>
      </c>
      <c r="S148" s="219">
        <f t="shared" si="21"/>
        <v>2.73996</v>
      </c>
      <c r="T148" s="219">
        <f t="shared" si="22"/>
        <v>108</v>
      </c>
      <c r="U148" s="219">
        <f t="shared" si="23"/>
        <v>3.0293233199999998E-2</v>
      </c>
      <c r="V148" s="188">
        <f t="shared" si="24"/>
        <v>4982040000000000</v>
      </c>
      <c r="X148" s="323">
        <v>8.3000000000000001E-3</v>
      </c>
      <c r="Y148" s="323">
        <v>5.0000000000000001E-3</v>
      </c>
      <c r="Z148" s="323">
        <v>1.8E-3</v>
      </c>
      <c r="AB148" s="323">
        <v>1</v>
      </c>
      <c r="AC148" s="323">
        <v>4</v>
      </c>
      <c r="AD148" s="323">
        <v>1</v>
      </c>
      <c r="AF148" s="323">
        <v>14.71</v>
      </c>
      <c r="AG148" s="323">
        <v>17.27</v>
      </c>
      <c r="AH148" s="323">
        <v>25.37</v>
      </c>
      <c r="AJ148" s="323">
        <v>1000</v>
      </c>
      <c r="AK148" s="323">
        <v>1000</v>
      </c>
      <c r="AL148" s="323">
        <v>1000</v>
      </c>
      <c r="AN148" s="323">
        <v>0.12</v>
      </c>
      <c r="AO148" s="323">
        <v>5.6000000000000001E-2</v>
      </c>
      <c r="AP148" s="323">
        <v>7.4999999999999997E-2</v>
      </c>
      <c r="AR148" s="323">
        <v>1.2869200000000001</v>
      </c>
      <c r="AS148" s="323">
        <v>1.0763974999999999</v>
      </c>
      <c r="AT148" s="323">
        <v>0.28049289999999999</v>
      </c>
      <c r="AV148" s="190">
        <v>4080000000000000</v>
      </c>
      <c r="AW148" s="190">
        <v>8580000000000000</v>
      </c>
      <c r="AX148" s="190">
        <v>4.613E+16</v>
      </c>
      <c r="AY148" s="203">
        <v>0.2</v>
      </c>
      <c r="BB148" s="204">
        <v>42502</v>
      </c>
      <c r="BC148" s="203" t="s">
        <v>3078</v>
      </c>
      <c r="BD148" s="185" t="s">
        <v>1005</v>
      </c>
    </row>
    <row r="149" spans="1:56" x14ac:dyDescent="0.2">
      <c r="A149" s="193" t="s">
        <v>1036</v>
      </c>
      <c r="B149" s="193" t="s">
        <v>1036</v>
      </c>
      <c r="C149" s="184" t="s">
        <v>715</v>
      </c>
      <c r="D149" s="185" t="s">
        <v>812</v>
      </c>
      <c r="E149" s="184" t="s">
        <v>1037</v>
      </c>
      <c r="F149" s="184" t="s">
        <v>1038</v>
      </c>
      <c r="G149" s="186">
        <f>IF(ALECA_Input!$F$13="ICAO (3000ft)",'Aircraft Calc'!C$218,'Aircraft Calc'!G$218)</f>
        <v>0</v>
      </c>
      <c r="H149" s="186">
        <f>IF(ALECA_Input!$F$13="ICAO (3000ft)",'Aircraft Calc'!D$218,'Aircraft Calc'!H$218)</f>
        <v>3</v>
      </c>
      <c r="I149" s="186">
        <f>IF(ALECA_Input!$F$13="ICAO (3000ft)",'Aircraft Calc'!E$218,'Aircraft Calc'!I$218)</f>
        <v>5.5</v>
      </c>
      <c r="J149" s="186">
        <v>1</v>
      </c>
      <c r="K149" s="187">
        <f t="shared" si="13"/>
        <v>5.16</v>
      </c>
      <c r="L149" s="187">
        <f t="shared" si="14"/>
        <v>1.3079999999999998E-2</v>
      </c>
      <c r="M149" s="187">
        <f t="shared" si="15"/>
        <v>7.0436399999999996E-2</v>
      </c>
      <c r="N149" s="187">
        <f t="shared" si="16"/>
        <v>5.16</v>
      </c>
      <c r="O149" s="187">
        <f t="shared" si="17"/>
        <v>5.2885392000000002E-3</v>
      </c>
      <c r="P149" s="188">
        <f t="shared" si="18"/>
        <v>3.2932799999999996E+16</v>
      </c>
      <c r="Q149" s="187">
        <f t="shared" si="19"/>
        <v>180</v>
      </c>
      <c r="R149" s="219">
        <f t="shared" si="20"/>
        <v>0.18</v>
      </c>
      <c r="S149" s="219">
        <f t="shared" si="21"/>
        <v>3.8915999999999999</v>
      </c>
      <c r="T149" s="219">
        <f t="shared" si="22"/>
        <v>180</v>
      </c>
      <c r="U149" s="219">
        <f t="shared" si="23"/>
        <v>4.6323971999999998E-2</v>
      </c>
      <c r="V149" s="188">
        <f t="shared" si="24"/>
        <v>8290800000000000</v>
      </c>
      <c r="X149" s="323">
        <v>1.4E-2</v>
      </c>
      <c r="Y149" s="323">
        <v>8.0000000000000002E-3</v>
      </c>
      <c r="Z149" s="323">
        <v>3.0000000000000001E-3</v>
      </c>
      <c r="AB149" s="323">
        <v>1</v>
      </c>
      <c r="AC149" s="323">
        <v>4</v>
      </c>
      <c r="AD149" s="323">
        <v>1</v>
      </c>
      <c r="AF149" s="323">
        <v>12.53</v>
      </c>
      <c r="AG149" s="323">
        <v>14.72</v>
      </c>
      <c r="AH149" s="323">
        <v>21.62</v>
      </c>
      <c r="AJ149" s="323">
        <v>1000</v>
      </c>
      <c r="AK149" s="323">
        <v>1000</v>
      </c>
      <c r="AL149" s="323">
        <v>1000</v>
      </c>
      <c r="AN149" s="323">
        <v>0.12</v>
      </c>
      <c r="AO149" s="323">
        <v>5.6000000000000001E-2</v>
      </c>
      <c r="AP149" s="323">
        <v>7.4999999999999997E-2</v>
      </c>
      <c r="AR149" s="323">
        <v>1.12124</v>
      </c>
      <c r="AS149" s="323">
        <v>0.93296000000000001</v>
      </c>
      <c r="AT149" s="323">
        <v>0.25735540000000001</v>
      </c>
      <c r="AV149" s="190">
        <v>4080000000000000</v>
      </c>
      <c r="AW149" s="190">
        <v>8580000000000000</v>
      </c>
      <c r="AX149" s="190">
        <v>4.606E+16</v>
      </c>
      <c r="AY149" s="203">
        <v>0.2</v>
      </c>
      <c r="BB149" s="204">
        <v>42502</v>
      </c>
      <c r="BC149" s="203" t="s">
        <v>3078</v>
      </c>
      <c r="BD149" s="185" t="s">
        <v>1005</v>
      </c>
    </row>
    <row r="150" spans="1:56" x14ac:dyDescent="0.2">
      <c r="A150" s="193" t="s">
        <v>1039</v>
      </c>
      <c r="B150" s="193" t="s">
        <v>1039</v>
      </c>
      <c r="C150" s="184" t="s">
        <v>1025</v>
      </c>
      <c r="D150" s="185" t="s">
        <v>812</v>
      </c>
      <c r="E150" s="184" t="s">
        <v>1023</v>
      </c>
      <c r="F150" s="184" t="s">
        <v>1024</v>
      </c>
      <c r="G150" s="186">
        <f>IF(ALECA_Input!$F$13="ICAO (3000ft)",'Aircraft Calc'!C$218,'Aircraft Calc'!G$218)</f>
        <v>0</v>
      </c>
      <c r="H150" s="186">
        <f>IF(ALECA_Input!$F$13="ICAO (3000ft)",'Aircraft Calc'!D$218,'Aircraft Calc'!H$218)</f>
        <v>3</v>
      </c>
      <c r="I150" s="186">
        <f>IF(ALECA_Input!$F$13="ICAO (3000ft)",'Aircraft Calc'!E$218,'Aircraft Calc'!I$218)</f>
        <v>5.5</v>
      </c>
      <c r="J150" s="186">
        <v>1</v>
      </c>
      <c r="K150" s="187">
        <f t="shared" si="13"/>
        <v>1.0920000000000001</v>
      </c>
      <c r="L150" s="187">
        <f t="shared" si="14"/>
        <v>2.9820000000000003E-3</v>
      </c>
      <c r="M150" s="187">
        <f t="shared" si="15"/>
        <v>0.45607799999999998</v>
      </c>
      <c r="N150" s="187">
        <f t="shared" si="16"/>
        <v>1.0325280000000001</v>
      </c>
      <c r="O150" s="187">
        <f t="shared" si="17"/>
        <v>3.1838801819999998E-2</v>
      </c>
      <c r="P150" s="188">
        <f t="shared" si="18"/>
        <v>1603464419777822.3</v>
      </c>
      <c r="Q150" s="187">
        <f t="shared" si="19"/>
        <v>24</v>
      </c>
      <c r="R150" s="219">
        <f t="shared" si="20"/>
        <v>0</v>
      </c>
      <c r="S150" s="219">
        <f t="shared" si="21"/>
        <v>10.752000000000001</v>
      </c>
      <c r="T150" s="219">
        <f t="shared" si="22"/>
        <v>12.36</v>
      </c>
      <c r="U150" s="219">
        <f t="shared" si="23"/>
        <v>0.10351487999999999</v>
      </c>
      <c r="V150" s="188">
        <f t="shared" si="24"/>
        <v>138724440536118.34</v>
      </c>
      <c r="X150" s="323">
        <v>3.5000000000000001E-3</v>
      </c>
      <c r="Y150" s="323">
        <v>1.4E-3</v>
      </c>
      <c r="Z150" s="323">
        <v>4.0000000000000002E-4</v>
      </c>
      <c r="AB150" s="323">
        <v>4</v>
      </c>
      <c r="AC150" s="323">
        <v>1</v>
      </c>
      <c r="AD150" s="323">
        <v>0</v>
      </c>
      <c r="AF150" s="323">
        <v>380</v>
      </c>
      <c r="AG150" s="323">
        <v>469</v>
      </c>
      <c r="AH150" s="323">
        <v>448</v>
      </c>
      <c r="AJ150" s="323">
        <v>921</v>
      </c>
      <c r="AK150" s="323">
        <v>979</v>
      </c>
      <c r="AL150" s="323">
        <v>515</v>
      </c>
      <c r="AN150" s="323">
        <v>1.2</v>
      </c>
      <c r="AO150" s="323">
        <v>1.4</v>
      </c>
      <c r="AP150" s="323">
        <v>1.5</v>
      </c>
      <c r="AR150" s="323">
        <v>30.128959999999999</v>
      </c>
      <c r="AS150" s="323">
        <v>27.830210000000001</v>
      </c>
      <c r="AT150" s="323">
        <v>4.3131199999999996</v>
      </c>
      <c r="AV150" s="190">
        <v>2175696529670257.3</v>
      </c>
      <c r="AW150" s="190">
        <v>503843303215498.19</v>
      </c>
      <c r="AX150" s="190">
        <v>5780185022338264</v>
      </c>
      <c r="AY150" s="203">
        <v>0.2</v>
      </c>
      <c r="BA150" s="203">
        <v>2000</v>
      </c>
      <c r="BB150" s="204">
        <v>42502</v>
      </c>
      <c r="BC150" s="203" t="s">
        <v>3078</v>
      </c>
      <c r="BD150" s="185" t="s">
        <v>1005</v>
      </c>
    </row>
    <row r="151" spans="1:56" x14ac:dyDescent="0.2">
      <c r="A151" s="193" t="s">
        <v>1040</v>
      </c>
      <c r="B151" s="193" t="s">
        <v>1040</v>
      </c>
      <c r="C151" s="184" t="s">
        <v>1025</v>
      </c>
      <c r="D151" s="185" t="s">
        <v>812</v>
      </c>
      <c r="E151" s="184" t="s">
        <v>1028</v>
      </c>
      <c r="F151" s="184" t="s">
        <v>1029</v>
      </c>
      <c r="G151" s="186">
        <f>IF(ALECA_Input!$F$13="ICAO (3000ft)",'Aircraft Calc'!C$218,'Aircraft Calc'!G$218)</f>
        <v>0</v>
      </c>
      <c r="H151" s="186">
        <f>IF(ALECA_Input!$F$13="ICAO (3000ft)",'Aircraft Calc'!D$218,'Aircraft Calc'!H$218)</f>
        <v>3</v>
      </c>
      <c r="I151" s="186">
        <f>IF(ALECA_Input!$F$13="ICAO (3000ft)",'Aircraft Calc'!E$218,'Aircraft Calc'!I$218)</f>
        <v>5.5</v>
      </c>
      <c r="J151" s="186">
        <v>1</v>
      </c>
      <c r="K151" s="187">
        <f t="shared" ref="K151:K214" si="37">(G151*W151*60+H151*X151*60+I151*Y151*60)</f>
        <v>1.9589999999999999</v>
      </c>
      <c r="L151" s="187">
        <f t="shared" ref="L151:L214" si="38">(G151*W151*60*AA151+H151*X151*60*AB151+I151*Y151*60*AC151)/1000</f>
        <v>6.0825299999999999E-2</v>
      </c>
      <c r="M151" s="187">
        <f t="shared" ref="M151:M214" si="39">(G151*W151*60*AE151+H151*X151*60*AF151+I151*Y151*60*AG151)/1000</f>
        <v>3.4380299999999996E-2</v>
      </c>
      <c r="N151" s="187">
        <f t="shared" ref="N151:N214" si="40">(G151*W151*60*AI151+H151*X151*60*AJ151+I151*Y151*60*AK151)/1000</f>
        <v>1.1904989999999998</v>
      </c>
      <c r="O151" s="187">
        <f t="shared" ref="O151:O214" si="41">(G151*W151*60*AQ151+H151*X151*60*AR151+I151*Y151*60*AS151)/1000</f>
        <v>2.6174397149999998E-3</v>
      </c>
      <c r="P151" s="188">
        <f t="shared" ref="P151:P214" si="42">(G151*W151*60*AU151+H151*X151*60*AV151+I151*Y151*60*AW151)</f>
        <v>306226038115297.88</v>
      </c>
      <c r="Q151" s="187">
        <f t="shared" ref="Q151:Q214" si="43">J151*Z151*60*1000</f>
        <v>42</v>
      </c>
      <c r="R151" s="219">
        <f t="shared" ref="R151:R214" si="44">J151*Z151*60*AD151</f>
        <v>0.22680000000000003</v>
      </c>
      <c r="S151" s="219">
        <f t="shared" ref="S151:S214" si="45">J151*Z151*60*AH151</f>
        <v>2.1168</v>
      </c>
      <c r="T151" s="219">
        <f t="shared" ref="T151:T214" si="46">J151*Z151*60*AL151</f>
        <v>54.642000000000003</v>
      </c>
      <c r="U151" s="219">
        <f t="shared" ref="U151:U214" si="47">J151*Z151*60*AT151</f>
        <v>2.2046975999999999E-2</v>
      </c>
      <c r="V151" s="188">
        <f t="shared" ref="V151:V214" si="48">J151*Z151*60*AX151</f>
        <v>26704454803202.785</v>
      </c>
      <c r="X151" s="323">
        <v>5.1999999999999998E-3</v>
      </c>
      <c r="Y151" s="323">
        <v>3.0999999999999999E-3</v>
      </c>
      <c r="Z151" s="323">
        <v>6.9999999999999999E-4</v>
      </c>
      <c r="AB151" s="323">
        <v>39.299999999999997</v>
      </c>
      <c r="AC151" s="323">
        <v>23.5</v>
      </c>
      <c r="AD151" s="323">
        <v>5.4</v>
      </c>
      <c r="AF151" s="323">
        <v>15.2</v>
      </c>
      <c r="AG151" s="323">
        <v>19.7</v>
      </c>
      <c r="AH151" s="323">
        <v>50.4</v>
      </c>
      <c r="AJ151" s="323">
        <v>497</v>
      </c>
      <c r="AK151" s="323">
        <v>709</v>
      </c>
      <c r="AL151" s="323">
        <v>1301</v>
      </c>
      <c r="AN151" s="323">
        <v>0.14399999999999999</v>
      </c>
      <c r="AO151" s="323">
        <v>0.16800000000000001</v>
      </c>
      <c r="AP151" s="323">
        <v>0.16500000000000001</v>
      </c>
      <c r="AR151" s="323">
        <v>1.34816</v>
      </c>
      <c r="AS151" s="323">
        <v>1.3250850000000001</v>
      </c>
      <c r="AT151" s="323">
        <v>0.52492799999999995</v>
      </c>
      <c r="AV151" s="190">
        <v>261083583560430.88</v>
      </c>
      <c r="AW151" s="190">
        <v>60461196385859.789</v>
      </c>
      <c r="AX151" s="190">
        <v>635820352457209.13</v>
      </c>
      <c r="AY151" s="203">
        <v>0.2</v>
      </c>
      <c r="BA151" s="203">
        <v>2006</v>
      </c>
      <c r="BB151" s="204">
        <v>42502</v>
      </c>
      <c r="BC151" s="203" t="s">
        <v>3078</v>
      </c>
      <c r="BD151" s="185" t="s">
        <v>1005</v>
      </c>
    </row>
    <row r="152" spans="1:56" x14ac:dyDescent="0.2">
      <c r="A152" s="184" t="s">
        <v>1042</v>
      </c>
      <c r="B152" s="184" t="s">
        <v>1041</v>
      </c>
      <c r="C152" s="184" t="s">
        <v>723</v>
      </c>
      <c r="D152" s="185" t="s">
        <v>1043</v>
      </c>
      <c r="E152" s="184" t="s">
        <v>1044</v>
      </c>
      <c r="F152" s="184" t="s">
        <v>1044</v>
      </c>
      <c r="G152" s="186">
        <f>IF(ALECA_Input!$F$13="ICAO (3000ft)",'Aircraft Calc'!C$211,'Aircraft Calc'!G$211)</f>
        <v>0.7</v>
      </c>
      <c r="H152" s="186">
        <f>IF(ALECA_Input!$F$13="ICAO (3000ft)",'Aircraft Calc'!D$211,'Aircraft Calc'!H$211)</f>
        <v>2.2000000000000002</v>
      </c>
      <c r="I152" s="186">
        <f>IF(ALECA_Input!$F$13="ICAO (3000ft)",'Aircraft Calc'!E$211,'Aircraft Calc'!I$211)</f>
        <v>4</v>
      </c>
      <c r="J152" s="186">
        <v>1</v>
      </c>
      <c r="K152" s="187">
        <f t="shared" si="37"/>
        <v>74.466000000000008</v>
      </c>
      <c r="L152" s="187">
        <f t="shared" si="38"/>
        <v>0.87899172000000003</v>
      </c>
      <c r="M152" s="187">
        <f t="shared" si="39"/>
        <v>0</v>
      </c>
      <c r="N152" s="187">
        <f t="shared" si="40"/>
        <v>0.11641481999999999</v>
      </c>
      <c r="O152" s="187">
        <f t="shared" si="41"/>
        <v>3.8151830775113799E-3</v>
      </c>
      <c r="P152" s="188">
        <f t="shared" si="42"/>
        <v>3790409349644033</v>
      </c>
      <c r="Q152" s="187">
        <f t="shared" si="43"/>
        <v>2699.9999999999995</v>
      </c>
      <c r="R152" s="219">
        <f t="shared" si="44"/>
        <v>6.4529999999999994</v>
      </c>
      <c r="S152" s="219">
        <f t="shared" si="45"/>
        <v>8.7479999999999993</v>
      </c>
      <c r="T152" s="219">
        <f t="shared" si="46"/>
        <v>106.91999999999999</v>
      </c>
      <c r="U152" s="219">
        <f t="shared" si="47"/>
        <v>0.2250346667730817</v>
      </c>
      <c r="V152" s="188">
        <f t="shared" si="48"/>
        <v>1961156778511742</v>
      </c>
      <c r="W152" s="323">
        <v>0.32900000000000001</v>
      </c>
      <c r="X152" s="323">
        <v>0.27400000000000002</v>
      </c>
      <c r="Y152" s="323">
        <v>0.10199999999999999</v>
      </c>
      <c r="Z152" s="323">
        <v>4.4999999999999998E-2</v>
      </c>
      <c r="AA152" s="323">
        <v>15.82</v>
      </c>
      <c r="AB152" s="323">
        <v>13.67</v>
      </c>
      <c r="AC152" s="323">
        <v>6.78</v>
      </c>
      <c r="AD152" s="323">
        <v>2.39</v>
      </c>
      <c r="AE152" s="323">
        <v>0</v>
      </c>
      <c r="AF152" s="323">
        <v>0</v>
      </c>
      <c r="AG152" s="323">
        <v>0</v>
      </c>
      <c r="AH152" s="323">
        <v>3.24</v>
      </c>
      <c r="AI152" s="323">
        <v>0.56999999999999995</v>
      </c>
      <c r="AJ152" s="323">
        <v>0.72</v>
      </c>
      <c r="AK152" s="323">
        <v>3.37</v>
      </c>
      <c r="AL152" s="323">
        <v>39.6</v>
      </c>
      <c r="AM152" s="323">
        <v>2.0729979876827733E-3</v>
      </c>
      <c r="AN152" s="323">
        <v>2.1848127367574671E-3</v>
      </c>
      <c r="AO152" s="323">
        <v>2.5189021345806712E-3</v>
      </c>
      <c r="AP152" s="323">
        <v>1.4395372878919144E-2</v>
      </c>
      <c r="AQ152" s="323">
        <v>5.1032997987682779E-2</v>
      </c>
      <c r="AR152" s="323">
        <v>5.1144812736757472E-2</v>
      </c>
      <c r="AS152" s="323">
        <v>5.1478902134580673E-2</v>
      </c>
      <c r="AT152" s="323">
        <v>8.3346172878919156E-2</v>
      </c>
      <c r="AU152" s="190">
        <v>13074784032072.52</v>
      </c>
      <c r="AV152" s="190">
        <v>13780020459912.082</v>
      </c>
      <c r="AW152" s="190">
        <v>127097475649295.55</v>
      </c>
      <c r="AX152" s="190">
        <v>726354362411756.38</v>
      </c>
      <c r="AY152" s="203">
        <v>1</v>
      </c>
      <c r="AZ152" s="239">
        <v>28.49</v>
      </c>
      <c r="BA152" s="203">
        <v>2007</v>
      </c>
      <c r="BB152" s="204">
        <v>41208</v>
      </c>
      <c r="BC152" s="203" t="s">
        <v>3079</v>
      </c>
    </row>
    <row r="153" spans="1:56" x14ac:dyDescent="0.2">
      <c r="A153" s="184" t="s">
        <v>1046</v>
      </c>
      <c r="B153" s="184" t="s">
        <v>1045</v>
      </c>
      <c r="C153" s="184" t="s">
        <v>723</v>
      </c>
      <c r="D153" s="185" t="s">
        <v>1043</v>
      </c>
      <c r="E153" s="184" t="s">
        <v>1044</v>
      </c>
      <c r="F153" s="184" t="s">
        <v>1047</v>
      </c>
      <c r="G153" s="186">
        <f>IF(ALECA_Input!$F$13="ICAO (3000ft)",'Aircraft Calc'!C$211,'Aircraft Calc'!G$211)</f>
        <v>0.7</v>
      </c>
      <c r="H153" s="186">
        <f>IF(ALECA_Input!$F$13="ICAO (3000ft)",'Aircraft Calc'!D$211,'Aircraft Calc'!H$211)</f>
        <v>2.2000000000000002</v>
      </c>
      <c r="I153" s="186">
        <f>IF(ALECA_Input!$F$13="ICAO (3000ft)",'Aircraft Calc'!E$211,'Aircraft Calc'!I$211)</f>
        <v>4</v>
      </c>
      <c r="J153" s="186">
        <v>1</v>
      </c>
      <c r="K153" s="187">
        <f t="shared" si="37"/>
        <v>74.117999999999995</v>
      </c>
      <c r="L153" s="187">
        <f t="shared" si="38"/>
        <v>1.0251314399999998</v>
      </c>
      <c r="M153" s="187">
        <f t="shared" si="39"/>
        <v>0</v>
      </c>
      <c r="N153" s="187">
        <f t="shared" si="40"/>
        <v>9.1036499999999992E-2</v>
      </c>
      <c r="O153" s="187">
        <f t="shared" si="41"/>
        <v>4.5301024138497022E-3</v>
      </c>
      <c r="P153" s="188">
        <f t="shared" si="42"/>
        <v>1.9706637021631044E+16</v>
      </c>
      <c r="Q153" s="187">
        <f t="shared" si="43"/>
        <v>2639.9999999999995</v>
      </c>
      <c r="R153" s="219">
        <f t="shared" si="44"/>
        <v>7.5503999999999989</v>
      </c>
      <c r="S153" s="219">
        <f t="shared" si="45"/>
        <v>5.2535999999999996</v>
      </c>
      <c r="T153" s="219">
        <f t="shared" si="46"/>
        <v>97.468799999999987</v>
      </c>
      <c r="U153" s="219">
        <f t="shared" si="47"/>
        <v>0.37918908206819329</v>
      </c>
      <c r="V153" s="188">
        <f t="shared" si="48"/>
        <v>1.0975511402145066E+16</v>
      </c>
      <c r="W153" s="323">
        <v>0.32700000000000001</v>
      </c>
      <c r="X153" s="323">
        <v>0.27200000000000002</v>
      </c>
      <c r="Y153" s="323">
        <v>0.10199999999999999</v>
      </c>
      <c r="Z153" s="323">
        <v>4.3999999999999997E-2</v>
      </c>
      <c r="AA153" s="323">
        <v>18.28</v>
      </c>
      <c r="AB153" s="323">
        <v>15.58</v>
      </c>
      <c r="AC153" s="323">
        <v>8.77</v>
      </c>
      <c r="AD153" s="323">
        <v>2.86</v>
      </c>
      <c r="AE153" s="323">
        <v>0</v>
      </c>
      <c r="AF153" s="323">
        <v>0</v>
      </c>
      <c r="AG153" s="323">
        <v>0</v>
      </c>
      <c r="AH153" s="323">
        <v>1.99</v>
      </c>
      <c r="AI153" s="323">
        <v>0.27</v>
      </c>
      <c r="AJ153" s="323">
        <v>0.23</v>
      </c>
      <c r="AK153" s="323">
        <v>3.23</v>
      </c>
      <c r="AL153" s="323">
        <v>36.92</v>
      </c>
      <c r="AM153" s="323">
        <v>1.3547622497061746E-2</v>
      </c>
      <c r="AN153" s="323">
        <v>1.107463567716226E-2</v>
      </c>
      <c r="AO153" s="323">
        <v>1.2973789506626731E-2</v>
      </c>
      <c r="AP153" s="323">
        <v>8.2393928056133853E-2</v>
      </c>
      <c r="AQ153" s="323">
        <v>6.2507622497061752E-2</v>
      </c>
      <c r="AR153" s="323">
        <v>6.003463567716226E-2</v>
      </c>
      <c r="AS153" s="323">
        <v>6.1933789506626737E-2</v>
      </c>
      <c r="AT153" s="323">
        <v>0.14363222805613385</v>
      </c>
      <c r="AU153" s="190">
        <v>85447375901763.563</v>
      </c>
      <c r="AV153" s="190">
        <v>69849787878781.094</v>
      </c>
      <c r="AW153" s="190">
        <v>654624835661620.5</v>
      </c>
      <c r="AX153" s="190">
        <v>4157390682630707</v>
      </c>
      <c r="AY153" s="203">
        <v>1.2</v>
      </c>
      <c r="AZ153" s="239">
        <v>28.5</v>
      </c>
      <c r="BA153" s="203">
        <v>2012</v>
      </c>
      <c r="BB153" s="204">
        <v>42709</v>
      </c>
      <c r="BC153" s="203" t="s">
        <v>3080</v>
      </c>
    </row>
    <row r="154" spans="1:56" x14ac:dyDescent="0.2">
      <c r="A154" s="184" t="s">
        <v>1049</v>
      </c>
      <c r="B154" s="184" t="s">
        <v>1048</v>
      </c>
      <c r="C154" s="184" t="s">
        <v>1052</v>
      </c>
      <c r="D154" s="185" t="s">
        <v>1043</v>
      </c>
      <c r="E154" s="184" t="s">
        <v>1050</v>
      </c>
      <c r="F154" s="184" t="s">
        <v>1051</v>
      </c>
      <c r="G154" s="186">
        <f>IF(ALECA_Input!$F$13="ICAO (3000ft)",'Aircraft Calc'!C$211,'Aircraft Calc'!G$211)</f>
        <v>0.7</v>
      </c>
      <c r="H154" s="186">
        <f>IF(ALECA_Input!$F$13="ICAO (3000ft)",'Aircraft Calc'!D$211,'Aircraft Calc'!H$211)</f>
        <v>2.2000000000000002</v>
      </c>
      <c r="I154" s="186">
        <f>IF(ALECA_Input!$F$13="ICAO (3000ft)",'Aircraft Calc'!E$211,'Aircraft Calc'!I$211)</f>
        <v>4</v>
      </c>
      <c r="J154" s="189">
        <v>1</v>
      </c>
      <c r="K154" s="187">
        <f t="shared" si="37"/>
        <v>243.36</v>
      </c>
      <c r="L154" s="187">
        <f t="shared" si="38"/>
        <v>3.6988188000000011</v>
      </c>
      <c r="M154" s="187">
        <f t="shared" si="39"/>
        <v>1.2787200000000002E-2</v>
      </c>
      <c r="N154" s="187">
        <f t="shared" si="40"/>
        <v>0.40982400000000002</v>
      </c>
      <c r="O154" s="187">
        <f t="shared" si="41"/>
        <v>2.122744249614298E-2</v>
      </c>
      <c r="P154" s="188">
        <f t="shared" si="42"/>
        <v>1.3301790424873389E+17</v>
      </c>
      <c r="Q154" s="187">
        <f t="shared" si="43"/>
        <v>7800.0000000000009</v>
      </c>
      <c r="R154" s="219">
        <f t="shared" si="44"/>
        <v>33.54</v>
      </c>
      <c r="S154" s="219">
        <f t="shared" si="45"/>
        <v>8.8140000000000018</v>
      </c>
      <c r="T154" s="219">
        <f t="shared" si="46"/>
        <v>183.3</v>
      </c>
      <c r="U154" s="219">
        <f t="shared" si="47"/>
        <v>0.59745570895367583</v>
      </c>
      <c r="V154" s="188">
        <f t="shared" si="48"/>
        <v>8133006892355462</v>
      </c>
      <c r="W154" s="323">
        <v>1.1140000000000001</v>
      </c>
      <c r="X154" s="323">
        <v>0.91100000000000003</v>
      </c>
      <c r="Y154" s="323">
        <v>0.318</v>
      </c>
      <c r="Z154" s="323">
        <v>0.13</v>
      </c>
      <c r="AA154" s="323">
        <v>20.400000000000002</v>
      </c>
      <c r="AB154" s="323">
        <v>17.3</v>
      </c>
      <c r="AC154" s="323">
        <v>8.7000000000000011</v>
      </c>
      <c r="AD154" s="323">
        <v>4.3</v>
      </c>
      <c r="AE154" s="323">
        <v>0.04</v>
      </c>
      <c r="AF154" s="323">
        <v>0.04</v>
      </c>
      <c r="AG154" s="323">
        <v>0.08</v>
      </c>
      <c r="AH154" s="323">
        <v>1.1300000000000001</v>
      </c>
      <c r="AI154" s="323">
        <v>0.9</v>
      </c>
      <c r="AJ154" s="323">
        <v>0.9</v>
      </c>
      <c r="AK154" s="323">
        <v>3.4</v>
      </c>
      <c r="AL154" s="323">
        <v>23.5</v>
      </c>
      <c r="AM154" s="323">
        <v>5.1137695315290423E-2</v>
      </c>
      <c r="AN154" s="323">
        <v>3.4770004138711529E-2</v>
      </c>
      <c r="AO154" s="323">
        <v>2.3775065383160768E-2</v>
      </c>
      <c r="AP154" s="323">
        <v>2.0664785763291747E-2</v>
      </c>
      <c r="AQ154" s="323">
        <v>0.10469769531529044</v>
      </c>
      <c r="AR154" s="323">
        <v>8.6770004138711526E-2</v>
      </c>
      <c r="AS154" s="323">
        <v>7.7235065383160759E-2</v>
      </c>
      <c r="AT154" s="323">
        <v>7.6596885763291767E-2</v>
      </c>
      <c r="AU154" s="190">
        <v>322534959569707.81</v>
      </c>
      <c r="AV154" s="190">
        <v>219300885774660.47</v>
      </c>
      <c r="AW154" s="190">
        <v>1199630089677829</v>
      </c>
      <c r="AX154" s="190">
        <v>1042693191327623.3</v>
      </c>
      <c r="AY154" s="203">
        <v>4.5999999999999996</v>
      </c>
      <c r="AZ154" s="239">
        <v>106.76</v>
      </c>
      <c r="BA154" s="203">
        <v>1983</v>
      </c>
      <c r="BB154" s="204">
        <v>35684</v>
      </c>
      <c r="BC154" s="203" t="s">
        <v>741</v>
      </c>
    </row>
    <row r="155" spans="1:56" x14ac:dyDescent="0.2">
      <c r="A155" s="184" t="s">
        <v>711</v>
      </c>
      <c r="B155" s="184" t="s">
        <v>1053</v>
      </c>
      <c r="C155" s="184" t="s">
        <v>715</v>
      </c>
      <c r="D155" s="185" t="s">
        <v>1043</v>
      </c>
      <c r="E155" s="184" t="s">
        <v>1054</v>
      </c>
      <c r="F155" s="184" t="s">
        <v>1055</v>
      </c>
      <c r="G155" s="186">
        <f>IF(ALECA_Input!$F$13="ICAO (3000ft)",'Aircraft Calc'!C$211,'Aircraft Calc'!G$211)</f>
        <v>0.7</v>
      </c>
      <c r="H155" s="186">
        <f>IF(ALECA_Input!$F$13="ICAO (3000ft)",'Aircraft Calc'!D$211,'Aircraft Calc'!H$211)</f>
        <v>2.2000000000000002</v>
      </c>
      <c r="I155" s="186">
        <f>IF(ALECA_Input!$F$13="ICAO (3000ft)",'Aircraft Calc'!E$211,'Aircraft Calc'!I$211)</f>
        <v>4</v>
      </c>
      <c r="J155" s="189">
        <v>1</v>
      </c>
      <c r="K155" s="187">
        <f t="shared" si="37"/>
        <v>292.14000000000004</v>
      </c>
      <c r="L155" s="187">
        <f t="shared" si="38"/>
        <v>4.7529000000000003</v>
      </c>
      <c r="M155" s="187">
        <f t="shared" si="39"/>
        <v>3.7024800000000004E-2</v>
      </c>
      <c r="N155" s="187">
        <f t="shared" si="40"/>
        <v>0.29991899999999999</v>
      </c>
      <c r="O155" s="187">
        <f t="shared" si="41"/>
        <v>1.7631173038773339E-2</v>
      </c>
      <c r="P155" s="188">
        <f t="shared" si="42"/>
        <v>1.4352062635758428E+16</v>
      </c>
      <c r="Q155" s="187">
        <f t="shared" si="43"/>
        <v>7800.0000000000009</v>
      </c>
      <c r="R155" s="219">
        <f t="shared" si="44"/>
        <v>27.300000000000004</v>
      </c>
      <c r="S155" s="219">
        <f t="shared" si="45"/>
        <v>435.24</v>
      </c>
      <c r="T155" s="219">
        <f t="shared" si="46"/>
        <v>850.2</v>
      </c>
      <c r="U155" s="219">
        <f t="shared" si="47"/>
        <v>3.0923466347981661</v>
      </c>
      <c r="V155" s="188">
        <f t="shared" si="48"/>
        <v>1262841688108713.8</v>
      </c>
      <c r="W155" s="323">
        <v>1.25</v>
      </c>
      <c r="X155" s="323">
        <v>1.07</v>
      </c>
      <c r="Y155" s="323">
        <v>0.41</v>
      </c>
      <c r="Z155" s="323">
        <v>0.13</v>
      </c>
      <c r="AA155" s="323">
        <v>27.2</v>
      </c>
      <c r="AB155" s="323">
        <v>19.5</v>
      </c>
      <c r="AC155" s="323">
        <v>5.8</v>
      </c>
      <c r="AD155" s="323">
        <v>3.5</v>
      </c>
      <c r="AE155" s="323">
        <v>0.12</v>
      </c>
      <c r="AF155" s="323">
        <v>0.12</v>
      </c>
      <c r="AG155" s="323">
        <v>0.14000000000000001</v>
      </c>
      <c r="AH155" s="323">
        <v>55.8</v>
      </c>
      <c r="AI155" s="323">
        <v>0.49</v>
      </c>
      <c r="AJ155" s="323">
        <v>0.75</v>
      </c>
      <c r="AK155" s="323">
        <v>1.71</v>
      </c>
      <c r="AL155" s="323">
        <v>109</v>
      </c>
      <c r="AM155" s="323">
        <v>1.3792414342428912E-3</v>
      </c>
      <c r="AN155" s="323">
        <v>1.5591878606120145E-3</v>
      </c>
      <c r="AO155" s="323">
        <v>2.5189021345806712E-3</v>
      </c>
      <c r="AP155" s="323">
        <v>3.2086967689956432E-3</v>
      </c>
      <c r="AQ155" s="323">
        <v>6.4139241434242905E-2</v>
      </c>
      <c r="AR155" s="323">
        <v>5.9639187860612036E-2</v>
      </c>
      <c r="AS155" s="323">
        <v>5.9353902134580666E-2</v>
      </c>
      <c r="AT155" s="323">
        <v>0.39645469676899564</v>
      </c>
      <c r="AU155" s="190">
        <v>8699132361903.3594</v>
      </c>
      <c r="AV155" s="190">
        <v>9834087955733.6621</v>
      </c>
      <c r="AW155" s="190">
        <v>127097475649295.55</v>
      </c>
      <c r="AX155" s="190">
        <v>161902780526758.16</v>
      </c>
      <c r="AY155" s="203">
        <v>21.9</v>
      </c>
      <c r="AZ155" s="239">
        <v>49</v>
      </c>
      <c r="BB155" s="204">
        <v>43074</v>
      </c>
      <c r="BC155" s="203" t="s">
        <v>1056</v>
      </c>
    </row>
    <row r="156" spans="1:56" x14ac:dyDescent="0.2">
      <c r="A156" s="184" t="s">
        <v>1058</v>
      </c>
      <c r="B156" s="184" t="s">
        <v>1057</v>
      </c>
      <c r="C156" s="184" t="s">
        <v>1052</v>
      </c>
      <c r="D156" s="185" t="s">
        <v>1043</v>
      </c>
      <c r="E156" s="184" t="s">
        <v>1059</v>
      </c>
      <c r="F156" s="184" t="s">
        <v>1060</v>
      </c>
      <c r="G156" s="186">
        <f>IF(ALECA_Input!$F$13="ICAO (3000ft)",'Aircraft Calc'!C$211,'Aircraft Calc'!G$211)</f>
        <v>0.7</v>
      </c>
      <c r="H156" s="186">
        <f>IF(ALECA_Input!$F$13="ICAO (3000ft)",'Aircraft Calc'!D$211,'Aircraft Calc'!H$211)</f>
        <v>2.2000000000000002</v>
      </c>
      <c r="I156" s="186">
        <f>IF(ALECA_Input!$F$13="ICAO (3000ft)",'Aircraft Calc'!E$211,'Aircraft Calc'!I$211)</f>
        <v>4</v>
      </c>
      <c r="J156" s="189">
        <v>1</v>
      </c>
      <c r="K156" s="187">
        <f t="shared" si="37"/>
        <v>224.11799999999999</v>
      </c>
      <c r="L156" s="187">
        <f t="shared" si="38"/>
        <v>3.1071210000000002</v>
      </c>
      <c r="M156" s="187">
        <f t="shared" si="39"/>
        <v>1.3031400000000002E-2</v>
      </c>
      <c r="N156" s="187">
        <f t="shared" si="40"/>
        <v>0.44801819999999998</v>
      </c>
      <c r="O156" s="187">
        <f t="shared" si="41"/>
        <v>1.7802202225210974E-2</v>
      </c>
      <c r="P156" s="188">
        <f t="shared" si="42"/>
        <v>1.2122489269342384E+17</v>
      </c>
      <c r="Q156" s="187">
        <f t="shared" si="43"/>
        <v>7680</v>
      </c>
      <c r="R156" s="219">
        <f t="shared" si="44"/>
        <v>30.72</v>
      </c>
      <c r="S156" s="219">
        <f t="shared" si="45"/>
        <v>14.054399999999999</v>
      </c>
      <c r="T156" s="219">
        <f t="shared" si="46"/>
        <v>235.77599999999998</v>
      </c>
      <c r="U156" s="219">
        <f t="shared" si="47"/>
        <v>0.64869368386319093</v>
      </c>
      <c r="V156" s="188">
        <f t="shared" si="48"/>
        <v>9383338761857902</v>
      </c>
      <c r="W156" s="323">
        <v>0.98499999999999999</v>
      </c>
      <c r="X156" s="323">
        <v>0.81899999999999995</v>
      </c>
      <c r="Y156" s="323">
        <v>0.311</v>
      </c>
      <c r="Z156" s="323">
        <v>0.128</v>
      </c>
      <c r="AA156" s="323">
        <v>18.5</v>
      </c>
      <c r="AB156" s="323">
        <v>16</v>
      </c>
      <c r="AC156" s="323">
        <v>8.1999999999999993</v>
      </c>
      <c r="AD156" s="323">
        <v>4</v>
      </c>
      <c r="AE156" s="323">
        <v>0.04</v>
      </c>
      <c r="AF156" s="323">
        <v>0.05</v>
      </c>
      <c r="AG156" s="323">
        <v>0.08</v>
      </c>
      <c r="AH156" s="323">
        <v>1.83</v>
      </c>
      <c r="AI156" s="323">
        <v>0.9</v>
      </c>
      <c r="AJ156" s="323">
        <v>0.9</v>
      </c>
      <c r="AK156" s="323">
        <v>4.2</v>
      </c>
      <c r="AL156" s="323">
        <v>30.7</v>
      </c>
      <c r="AM156" s="323">
        <v>4.3011058111558739E-2</v>
      </c>
      <c r="AN156" s="323">
        <v>2.0433858393637951E-2</v>
      </c>
      <c r="AO156" s="323">
        <v>2.5508594693413385E-2</v>
      </c>
      <c r="AP156" s="323">
        <v>2.4214223419686327E-2</v>
      </c>
      <c r="AQ156" s="323">
        <v>9.6571058111558736E-2</v>
      </c>
      <c r="AR156" s="323">
        <v>7.3193858393637956E-2</v>
      </c>
      <c r="AS156" s="323">
        <v>7.8968594693413385E-2</v>
      </c>
      <c r="AT156" s="323">
        <v>8.4465323419686322E-2</v>
      </c>
      <c r="AU156" s="190">
        <v>271278746598382.25</v>
      </c>
      <c r="AV156" s="190">
        <v>128880147026776.91</v>
      </c>
      <c r="AW156" s="190">
        <v>1287099625025160.3</v>
      </c>
      <c r="AX156" s="190">
        <v>1221788901283581</v>
      </c>
      <c r="AY156" s="203">
        <v>3.9</v>
      </c>
      <c r="AZ156" s="239">
        <v>97.86</v>
      </c>
      <c r="BA156" s="203">
        <v>1983</v>
      </c>
      <c r="BB156" s="204">
        <v>35684</v>
      </c>
      <c r="BC156" s="203" t="s">
        <v>741</v>
      </c>
    </row>
    <row r="157" spans="1:56" x14ac:dyDescent="0.2">
      <c r="A157" s="184" t="s">
        <v>1062</v>
      </c>
      <c r="B157" s="184" t="s">
        <v>1061</v>
      </c>
      <c r="C157" s="184" t="s">
        <v>1052</v>
      </c>
      <c r="D157" s="185" t="s">
        <v>1043</v>
      </c>
      <c r="E157" s="184" t="s">
        <v>1063</v>
      </c>
      <c r="F157" s="184" t="s">
        <v>1064</v>
      </c>
      <c r="G157" s="186">
        <f>IF(ALECA_Input!$F$13="ICAO (3000ft)",'Aircraft Calc'!C$211,'Aircraft Calc'!G$211)</f>
        <v>0.7</v>
      </c>
      <c r="H157" s="186">
        <f>IF(ALECA_Input!$F$13="ICAO (3000ft)",'Aircraft Calc'!D$211,'Aircraft Calc'!H$211)</f>
        <v>2.2000000000000002</v>
      </c>
      <c r="I157" s="186">
        <f>IF(ALECA_Input!$F$13="ICAO (3000ft)",'Aircraft Calc'!E$211,'Aircraft Calc'!I$211)</f>
        <v>4</v>
      </c>
      <c r="J157" s="189">
        <v>1</v>
      </c>
      <c r="K157" s="187">
        <f t="shared" si="37"/>
        <v>224.11799999999999</v>
      </c>
      <c r="L157" s="187">
        <f t="shared" si="38"/>
        <v>3.1071210000000002</v>
      </c>
      <c r="M157" s="187">
        <f t="shared" si="39"/>
        <v>1.3031400000000002E-2</v>
      </c>
      <c r="N157" s="187">
        <f t="shared" si="40"/>
        <v>0.44801819999999998</v>
      </c>
      <c r="O157" s="187">
        <f t="shared" si="41"/>
        <v>1.7802202225210974E-2</v>
      </c>
      <c r="P157" s="188">
        <f t="shared" si="42"/>
        <v>1.2122489269342384E+17</v>
      </c>
      <c r="Q157" s="187">
        <f t="shared" si="43"/>
        <v>7680</v>
      </c>
      <c r="R157" s="219">
        <f t="shared" si="44"/>
        <v>30.72</v>
      </c>
      <c r="S157" s="219">
        <f t="shared" si="45"/>
        <v>14.054399999999999</v>
      </c>
      <c r="T157" s="219">
        <f t="shared" si="46"/>
        <v>235.77599999999998</v>
      </c>
      <c r="U157" s="219">
        <f t="shared" si="47"/>
        <v>0.64869368386319093</v>
      </c>
      <c r="V157" s="188">
        <f t="shared" si="48"/>
        <v>9383338761857902</v>
      </c>
      <c r="W157" s="323">
        <v>0.98499999999999999</v>
      </c>
      <c r="X157" s="323">
        <v>0.81899999999999995</v>
      </c>
      <c r="Y157" s="323">
        <v>0.311</v>
      </c>
      <c r="Z157" s="323">
        <v>0.128</v>
      </c>
      <c r="AA157" s="323">
        <v>18.5</v>
      </c>
      <c r="AB157" s="323">
        <v>16</v>
      </c>
      <c r="AC157" s="323">
        <v>8.1999999999999993</v>
      </c>
      <c r="AD157" s="323">
        <v>4</v>
      </c>
      <c r="AE157" s="323">
        <v>0.04</v>
      </c>
      <c r="AF157" s="323">
        <v>0.05</v>
      </c>
      <c r="AG157" s="323">
        <v>0.08</v>
      </c>
      <c r="AH157" s="323">
        <v>1.83</v>
      </c>
      <c r="AI157" s="323">
        <v>0.9</v>
      </c>
      <c r="AJ157" s="323">
        <v>0.9</v>
      </c>
      <c r="AK157" s="323">
        <v>4.2</v>
      </c>
      <c r="AL157" s="323">
        <v>30.7</v>
      </c>
      <c r="AM157" s="323">
        <v>4.3011058111558739E-2</v>
      </c>
      <c r="AN157" s="323">
        <v>2.0433858393637951E-2</v>
      </c>
      <c r="AO157" s="323">
        <v>2.5508594693413385E-2</v>
      </c>
      <c r="AP157" s="323">
        <v>2.4214223419686327E-2</v>
      </c>
      <c r="AQ157" s="323">
        <v>9.6571058111558736E-2</v>
      </c>
      <c r="AR157" s="323">
        <v>7.3193858393637956E-2</v>
      </c>
      <c r="AS157" s="323">
        <v>7.8968594693413385E-2</v>
      </c>
      <c r="AT157" s="323">
        <v>8.4465323419686322E-2</v>
      </c>
      <c r="AU157" s="190">
        <v>271278746598382.25</v>
      </c>
      <c r="AV157" s="190">
        <v>128880147026776.91</v>
      </c>
      <c r="AW157" s="190">
        <v>1287099625025160.3</v>
      </c>
      <c r="AX157" s="190">
        <v>1221788901283581</v>
      </c>
      <c r="AY157" s="203">
        <v>3.9</v>
      </c>
      <c r="AZ157" s="239">
        <v>97.86</v>
      </c>
      <c r="BA157" s="203">
        <v>1983</v>
      </c>
      <c r="BB157" s="204">
        <v>35684</v>
      </c>
      <c r="BC157" s="203" t="s">
        <v>741</v>
      </c>
    </row>
    <row r="158" spans="1:56" x14ac:dyDescent="0.2">
      <c r="A158" s="184" t="s">
        <v>711</v>
      </c>
      <c r="B158" s="184" t="s">
        <v>1065</v>
      </c>
      <c r="C158" s="184" t="s">
        <v>715</v>
      </c>
      <c r="D158" s="185" t="s">
        <v>1043</v>
      </c>
      <c r="E158" s="184" t="s">
        <v>1066</v>
      </c>
      <c r="F158" s="184" t="s">
        <v>1067</v>
      </c>
      <c r="G158" s="186">
        <f>IF(ALECA_Input!$F$13="ICAO (3000ft)",'Aircraft Calc'!C$211,'Aircraft Calc'!G$211)</f>
        <v>0.7</v>
      </c>
      <c r="H158" s="186">
        <f>IF(ALECA_Input!$F$13="ICAO (3000ft)",'Aircraft Calc'!D$211,'Aircraft Calc'!H$211)</f>
        <v>2.2000000000000002</v>
      </c>
      <c r="I158" s="186">
        <f>IF(ALECA_Input!$F$13="ICAO (3000ft)",'Aircraft Calc'!E$211,'Aircraft Calc'!I$211)</f>
        <v>4</v>
      </c>
      <c r="J158" s="189">
        <v>1</v>
      </c>
      <c r="K158" s="187">
        <f t="shared" si="37"/>
        <v>89.316000000000003</v>
      </c>
      <c r="L158" s="187">
        <f t="shared" si="38"/>
        <v>0.21252960000000001</v>
      </c>
      <c r="M158" s="187">
        <f t="shared" si="39"/>
        <v>0.33376632000000001</v>
      </c>
      <c r="N158" s="187">
        <f t="shared" si="40"/>
        <v>4.4258040000000003</v>
      </c>
      <c r="O158" s="187">
        <f t="shared" si="41"/>
        <v>3.6662366520976174E-2</v>
      </c>
      <c r="P158" s="188">
        <f t="shared" si="42"/>
        <v>2.3186332190386573E+17</v>
      </c>
      <c r="Q158" s="187">
        <f t="shared" si="43"/>
        <v>4920</v>
      </c>
      <c r="R158" s="219">
        <f t="shared" si="44"/>
        <v>6.3959999999999999</v>
      </c>
      <c r="S158" s="219">
        <f t="shared" si="45"/>
        <v>123</v>
      </c>
      <c r="T158" s="219">
        <f t="shared" si="46"/>
        <v>787.2</v>
      </c>
      <c r="U158" s="219">
        <f t="shared" si="47"/>
        <v>1.0421424357107154</v>
      </c>
      <c r="V158" s="188">
        <f t="shared" si="48"/>
        <v>2136836076565144</v>
      </c>
      <c r="W158" s="323">
        <v>0.33400000000000002</v>
      </c>
      <c r="X158" s="323">
        <v>0.29399999999999998</v>
      </c>
      <c r="Y158" s="323">
        <v>0.152</v>
      </c>
      <c r="Z158" s="323">
        <v>8.2000000000000003E-2</v>
      </c>
      <c r="AA158" s="323">
        <v>3</v>
      </c>
      <c r="AB158" s="323">
        <v>2.7</v>
      </c>
      <c r="AC158" s="323">
        <v>1.8</v>
      </c>
      <c r="AD158" s="323">
        <v>1.3</v>
      </c>
      <c r="AE158" s="323">
        <v>1.34</v>
      </c>
      <c r="AF158" s="323">
        <v>2.1</v>
      </c>
      <c r="AG158" s="323">
        <v>6.4</v>
      </c>
      <c r="AH158" s="323">
        <v>25</v>
      </c>
      <c r="AI158" s="323">
        <v>29</v>
      </c>
      <c r="AJ158" s="323">
        <v>34</v>
      </c>
      <c r="AK158" s="323">
        <v>74</v>
      </c>
      <c r="AL158" s="323">
        <v>160</v>
      </c>
      <c r="AM158" s="323">
        <v>0.13704821995677888</v>
      </c>
      <c r="AN158" s="323">
        <v>0.13322036605507678</v>
      </c>
      <c r="AO158" s="323">
        <v>0.10166269642426159</v>
      </c>
      <c r="AP158" s="323">
        <v>8.6075682338852422E-3</v>
      </c>
      <c r="AQ158" s="323">
        <v>0.34010821995677887</v>
      </c>
      <c r="AR158" s="323">
        <v>0.34178036605507678</v>
      </c>
      <c r="AS158" s="323">
        <v>0.5106226964242615</v>
      </c>
      <c r="AT158" s="323">
        <v>0.21181756823388526</v>
      </c>
      <c r="AU158" s="190">
        <v>864388623897237.5</v>
      </c>
      <c r="AV158" s="190">
        <v>840245637088540.25</v>
      </c>
      <c r="AW158" s="190">
        <v>5129644342206777</v>
      </c>
      <c r="AX158" s="190">
        <v>434316275724622.75</v>
      </c>
      <c r="AY158" s="203">
        <v>0.4</v>
      </c>
      <c r="AZ158" s="239">
        <v>15.6</v>
      </c>
      <c r="BB158" s="204">
        <v>43074</v>
      </c>
      <c r="BC158" s="203" t="s">
        <v>1068</v>
      </c>
    </row>
    <row r="159" spans="1:56" x14ac:dyDescent="0.2">
      <c r="A159" s="184" t="s">
        <v>1070</v>
      </c>
      <c r="B159" s="184" t="s">
        <v>1069</v>
      </c>
      <c r="C159" s="184" t="s">
        <v>769</v>
      </c>
      <c r="D159" s="185" t="s">
        <v>1043</v>
      </c>
      <c r="E159" s="184" t="s">
        <v>1071</v>
      </c>
      <c r="F159" s="184" t="s">
        <v>1071</v>
      </c>
      <c r="G159" s="186">
        <f>IF(ALECA_Input!$F$13="ICAO (3000ft)",'Aircraft Calc'!C$211,'Aircraft Calc'!G$211)</f>
        <v>0.7</v>
      </c>
      <c r="H159" s="186">
        <f>IF(ALECA_Input!$F$13="ICAO (3000ft)",'Aircraft Calc'!D$211,'Aircraft Calc'!H$211)</f>
        <v>2.2000000000000002</v>
      </c>
      <c r="I159" s="186">
        <f>IF(ALECA_Input!$F$13="ICAO (3000ft)",'Aircraft Calc'!E$211,'Aircraft Calc'!I$211)</f>
        <v>4</v>
      </c>
      <c r="J159" s="189">
        <v>1</v>
      </c>
      <c r="K159" s="187">
        <f t="shared" si="37"/>
        <v>171.97800000000001</v>
      </c>
      <c r="L159" s="187">
        <f t="shared" si="38"/>
        <v>2.3802502800000003</v>
      </c>
      <c r="M159" s="187">
        <f t="shared" si="39"/>
        <v>1.5634926E-2</v>
      </c>
      <c r="N159" s="187">
        <f t="shared" si="40"/>
        <v>0.24954221999999998</v>
      </c>
      <c r="O159" s="187">
        <f t="shared" si="41"/>
        <v>1.5626002792932584E-2</v>
      </c>
      <c r="P159" s="188">
        <f t="shared" si="42"/>
        <v>4.5079114139571624E+16</v>
      </c>
      <c r="Q159" s="187">
        <f t="shared" si="43"/>
        <v>5040</v>
      </c>
      <c r="R159" s="219">
        <f t="shared" si="44"/>
        <v>17.6904</v>
      </c>
      <c r="S159" s="219">
        <f t="shared" si="45"/>
        <v>32.210639999999998</v>
      </c>
      <c r="T159" s="219">
        <f t="shared" si="46"/>
        <v>251.89919999999998</v>
      </c>
      <c r="U159" s="219">
        <f t="shared" si="47"/>
        <v>0.46956287326974333</v>
      </c>
      <c r="V159" s="188">
        <f t="shared" si="48"/>
        <v>1214250605475362</v>
      </c>
      <c r="W159" s="323">
        <v>0.78900000000000003</v>
      </c>
      <c r="X159" s="323">
        <v>0.65</v>
      </c>
      <c r="Y159" s="323">
        <v>0.221</v>
      </c>
      <c r="Z159" s="323">
        <v>8.4000000000000005E-2</v>
      </c>
      <c r="AA159" s="323">
        <v>18.66</v>
      </c>
      <c r="AB159" s="323">
        <v>15.54</v>
      </c>
      <c r="AC159" s="323">
        <v>8.08</v>
      </c>
      <c r="AD159" s="323">
        <v>3.51</v>
      </c>
      <c r="AE159" s="323">
        <v>4.7E-2</v>
      </c>
      <c r="AF159" s="323">
        <v>0.08</v>
      </c>
      <c r="AG159" s="323">
        <v>0.13600000000000001</v>
      </c>
      <c r="AH159" s="323">
        <v>6.391</v>
      </c>
      <c r="AI159" s="323">
        <v>0.59</v>
      </c>
      <c r="AJ159" s="323">
        <v>0.35</v>
      </c>
      <c r="AK159" s="323">
        <v>3.77</v>
      </c>
      <c r="AL159" s="323">
        <v>49.98</v>
      </c>
      <c r="AM159" s="323">
        <v>6.6285921334648487E-2</v>
      </c>
      <c r="AN159" s="323">
        <v>4.3743073109330836E-2</v>
      </c>
      <c r="AO159" s="323">
        <v>2.8222188718781097E-3</v>
      </c>
      <c r="AP159" s="323">
        <v>4.7747667598696877E-3</v>
      </c>
      <c r="AQ159" s="323">
        <v>0.12065092133464848</v>
      </c>
      <c r="AR159" s="323">
        <v>9.8783073109330849E-2</v>
      </c>
      <c r="AS159" s="323">
        <v>5.9432218871878113E-2</v>
      </c>
      <c r="AT159" s="323">
        <v>9.3167236759869709E-2</v>
      </c>
      <c r="AU159" s="190">
        <v>418077639711680.5</v>
      </c>
      <c r="AV159" s="190">
        <v>275895701395722.28</v>
      </c>
      <c r="AW159" s="190">
        <v>142402076452733.53</v>
      </c>
      <c r="AX159" s="190">
        <v>240922739181619.44</v>
      </c>
      <c r="AY159" s="203">
        <v>2.8</v>
      </c>
      <c r="AZ159" s="239">
        <v>77.400000000000006</v>
      </c>
      <c r="BA159" s="203">
        <v>2007</v>
      </c>
      <c r="BB159" s="204">
        <v>41211</v>
      </c>
      <c r="BC159" s="203" t="s">
        <v>716</v>
      </c>
    </row>
    <row r="160" spans="1:56" x14ac:dyDescent="0.2">
      <c r="A160" s="184" t="s">
        <v>1073</v>
      </c>
      <c r="B160" s="184" t="s">
        <v>1072</v>
      </c>
      <c r="C160" s="184" t="s">
        <v>769</v>
      </c>
      <c r="D160" s="185" t="s">
        <v>1043</v>
      </c>
      <c r="E160" s="184" t="s">
        <v>1074</v>
      </c>
      <c r="F160" s="184" t="s">
        <v>1074</v>
      </c>
      <c r="G160" s="186">
        <f>IF(ALECA_Input!$F$13="ICAO (3000ft)",'Aircraft Calc'!C$211,'Aircraft Calc'!G$211)</f>
        <v>0.7</v>
      </c>
      <c r="H160" s="186">
        <f>IF(ALECA_Input!$F$13="ICAO (3000ft)",'Aircraft Calc'!D$211,'Aircraft Calc'!H$211)</f>
        <v>2.2000000000000002</v>
      </c>
      <c r="I160" s="186">
        <f>IF(ALECA_Input!$F$13="ICAO (3000ft)",'Aircraft Calc'!E$211,'Aircraft Calc'!I$211)</f>
        <v>4</v>
      </c>
      <c r="J160" s="189">
        <v>1</v>
      </c>
      <c r="K160" s="187">
        <f t="shared" si="37"/>
        <v>171.97800000000001</v>
      </c>
      <c r="L160" s="187">
        <f t="shared" si="38"/>
        <v>2.3802502800000003</v>
      </c>
      <c r="M160" s="187">
        <f t="shared" si="39"/>
        <v>1.5634926E-2</v>
      </c>
      <c r="N160" s="187">
        <f t="shared" si="40"/>
        <v>0.24954221999999998</v>
      </c>
      <c r="O160" s="187">
        <f t="shared" si="41"/>
        <v>1.5626002792932584E-2</v>
      </c>
      <c r="P160" s="188">
        <f t="shared" si="42"/>
        <v>4.5079114139571624E+16</v>
      </c>
      <c r="Q160" s="187">
        <f t="shared" si="43"/>
        <v>5040</v>
      </c>
      <c r="R160" s="219">
        <f t="shared" si="44"/>
        <v>17.6904</v>
      </c>
      <c r="S160" s="219">
        <f t="shared" si="45"/>
        <v>32.210639999999998</v>
      </c>
      <c r="T160" s="219">
        <f t="shared" si="46"/>
        <v>251.89919999999998</v>
      </c>
      <c r="U160" s="219">
        <f t="shared" si="47"/>
        <v>0.46956287326974333</v>
      </c>
      <c r="V160" s="188">
        <f t="shared" si="48"/>
        <v>1214250605475362</v>
      </c>
      <c r="W160" s="323">
        <v>0.78900000000000003</v>
      </c>
      <c r="X160" s="323">
        <v>0.65</v>
      </c>
      <c r="Y160" s="323">
        <v>0.221</v>
      </c>
      <c r="Z160" s="323">
        <v>8.4000000000000005E-2</v>
      </c>
      <c r="AA160" s="323">
        <v>18.66</v>
      </c>
      <c r="AB160" s="323">
        <v>15.54</v>
      </c>
      <c r="AC160" s="323">
        <v>8.08</v>
      </c>
      <c r="AD160" s="323">
        <v>3.51</v>
      </c>
      <c r="AE160" s="323">
        <v>4.7E-2</v>
      </c>
      <c r="AF160" s="323">
        <v>0.08</v>
      </c>
      <c r="AG160" s="323">
        <v>0.13600000000000001</v>
      </c>
      <c r="AH160" s="323">
        <v>6.391</v>
      </c>
      <c r="AI160" s="323">
        <v>0.59</v>
      </c>
      <c r="AJ160" s="323">
        <v>0.35</v>
      </c>
      <c r="AK160" s="323">
        <v>3.77</v>
      </c>
      <c r="AL160" s="323">
        <v>49.98</v>
      </c>
      <c r="AM160" s="323">
        <v>6.6285921334648487E-2</v>
      </c>
      <c r="AN160" s="323">
        <v>4.3743073109330836E-2</v>
      </c>
      <c r="AO160" s="323">
        <v>2.8222188718781097E-3</v>
      </c>
      <c r="AP160" s="323">
        <v>4.7747667598696877E-3</v>
      </c>
      <c r="AQ160" s="323">
        <v>0.12065092133464848</v>
      </c>
      <c r="AR160" s="323">
        <v>9.8783073109330849E-2</v>
      </c>
      <c r="AS160" s="323">
        <v>5.9432218871878113E-2</v>
      </c>
      <c r="AT160" s="323">
        <v>9.3167236759869709E-2</v>
      </c>
      <c r="AU160" s="190">
        <v>418077639711680.5</v>
      </c>
      <c r="AV160" s="190">
        <v>275895701395722.28</v>
      </c>
      <c r="AW160" s="190">
        <v>142402076452733.53</v>
      </c>
      <c r="AX160" s="190">
        <v>240922739181619.44</v>
      </c>
      <c r="AY160" s="203">
        <v>2.8</v>
      </c>
      <c r="AZ160" s="239">
        <v>77.400000000000006</v>
      </c>
      <c r="BA160" s="203">
        <v>2007</v>
      </c>
      <c r="BB160" s="204">
        <v>41211</v>
      </c>
      <c r="BC160" s="203" t="s">
        <v>716</v>
      </c>
    </row>
    <row r="161" spans="1:55" x14ac:dyDescent="0.2">
      <c r="A161" s="184" t="s">
        <v>1076</v>
      </c>
      <c r="B161" s="184" t="s">
        <v>1075</v>
      </c>
      <c r="C161" s="184" t="s">
        <v>769</v>
      </c>
      <c r="D161" s="185" t="s">
        <v>1043</v>
      </c>
      <c r="E161" s="184" t="s">
        <v>1077</v>
      </c>
      <c r="F161" s="184" t="s">
        <v>1077</v>
      </c>
      <c r="G161" s="186">
        <f>IF(ALECA_Input!$F$13="ICAO (3000ft)",'Aircraft Calc'!C$211,'Aircraft Calc'!G$211)</f>
        <v>0.7</v>
      </c>
      <c r="H161" s="186">
        <f>IF(ALECA_Input!$F$13="ICAO (3000ft)",'Aircraft Calc'!D$211,'Aircraft Calc'!H$211)</f>
        <v>2.2000000000000002</v>
      </c>
      <c r="I161" s="186">
        <f>IF(ALECA_Input!$F$13="ICAO (3000ft)",'Aircraft Calc'!E$211,'Aircraft Calc'!I$211)</f>
        <v>4</v>
      </c>
      <c r="J161" s="189">
        <v>1</v>
      </c>
      <c r="K161" s="187">
        <f t="shared" si="37"/>
        <v>187.5</v>
      </c>
      <c r="L161" s="187">
        <f t="shared" si="38"/>
        <v>2.8327458000000001</v>
      </c>
      <c r="M161" s="187">
        <f t="shared" si="39"/>
        <v>1.4907575999999999E-2</v>
      </c>
      <c r="N161" s="187">
        <f t="shared" si="40"/>
        <v>0.24930863999999997</v>
      </c>
      <c r="O161" s="187">
        <f t="shared" si="41"/>
        <v>1.9190322890508808E-2</v>
      </c>
      <c r="P161" s="188">
        <f t="shared" si="42"/>
        <v>6.3590324858257152E+16</v>
      </c>
      <c r="Q161" s="187">
        <f t="shared" si="43"/>
        <v>5220</v>
      </c>
      <c r="R161" s="219">
        <f t="shared" si="44"/>
        <v>19.157399999999999</v>
      </c>
      <c r="S161" s="219">
        <f t="shared" si="45"/>
        <v>26.053019999999997</v>
      </c>
      <c r="T161" s="219">
        <f t="shared" si="46"/>
        <v>232.44659999999999</v>
      </c>
      <c r="U161" s="219">
        <f t="shared" si="47"/>
        <v>0.44002539780275757</v>
      </c>
      <c r="V161" s="188">
        <f t="shared" si="48"/>
        <v>1196198930986794.3</v>
      </c>
      <c r="W161" s="323">
        <v>0.86599999999999999</v>
      </c>
      <c r="X161" s="323">
        <v>0.71399999999999997</v>
      </c>
      <c r="Y161" s="323">
        <v>0.23699999999999999</v>
      </c>
      <c r="Z161" s="323">
        <v>8.6999999999999994E-2</v>
      </c>
      <c r="AA161" s="323">
        <v>20.83</v>
      </c>
      <c r="AB161" s="323">
        <v>16.93</v>
      </c>
      <c r="AC161" s="323">
        <v>8.43</v>
      </c>
      <c r="AD161" s="323">
        <v>3.67</v>
      </c>
      <c r="AE161" s="323">
        <v>4.5999999999999999E-2</v>
      </c>
      <c r="AF161" s="323">
        <v>6.8000000000000005E-2</v>
      </c>
      <c r="AG161" s="323">
        <v>0.12</v>
      </c>
      <c r="AH161" s="323">
        <v>4.9909999999999997</v>
      </c>
      <c r="AI161" s="323">
        <v>0.84</v>
      </c>
      <c r="AJ161" s="323">
        <v>0.42</v>
      </c>
      <c r="AK161" s="323">
        <v>3.15</v>
      </c>
      <c r="AL161" s="323">
        <v>44.53</v>
      </c>
      <c r="AM161" s="323">
        <v>9.4098903907546813E-2</v>
      </c>
      <c r="AN161" s="323">
        <v>5.6894047479270259E-2</v>
      </c>
      <c r="AO161" s="323">
        <v>2.8513682622583044E-3</v>
      </c>
      <c r="AP161" s="323">
        <v>4.5415832189190618E-3</v>
      </c>
      <c r="AQ161" s="323">
        <v>0.14834890390754682</v>
      </c>
      <c r="AR161" s="323">
        <v>0.11102204747927027</v>
      </c>
      <c r="AS161" s="323">
        <v>5.8561368262258315E-2</v>
      </c>
      <c r="AT161" s="323">
        <v>8.4296053218919073E-2</v>
      </c>
      <c r="AU161" s="190">
        <v>593499295974325.5</v>
      </c>
      <c r="AV161" s="190">
        <v>358841343755212.81</v>
      </c>
      <c r="AW161" s="190">
        <v>143872881484488.09</v>
      </c>
      <c r="AX161" s="190">
        <v>229156883330803.5</v>
      </c>
      <c r="AY161" s="203">
        <v>3.3</v>
      </c>
      <c r="AZ161" s="239">
        <v>83.7</v>
      </c>
      <c r="BA161" s="203">
        <v>2007</v>
      </c>
      <c r="BB161" s="204">
        <v>41212</v>
      </c>
      <c r="BC161" s="203" t="s">
        <v>716</v>
      </c>
    </row>
    <row r="162" spans="1:55" x14ac:dyDescent="0.2">
      <c r="A162" s="184" t="s">
        <v>1079</v>
      </c>
      <c r="B162" s="184" t="s">
        <v>1078</v>
      </c>
      <c r="C162" s="184" t="s">
        <v>769</v>
      </c>
      <c r="D162" s="185" t="s">
        <v>1043</v>
      </c>
      <c r="E162" s="184" t="s">
        <v>1080</v>
      </c>
      <c r="F162" s="184" t="s">
        <v>1080</v>
      </c>
      <c r="G162" s="186">
        <f>IF(ALECA_Input!$F$13="ICAO (3000ft)",'Aircraft Calc'!C$211,'Aircraft Calc'!G$211)</f>
        <v>0.7</v>
      </c>
      <c r="H162" s="186">
        <f>IF(ALECA_Input!$F$13="ICAO (3000ft)",'Aircraft Calc'!D$211,'Aircraft Calc'!H$211)</f>
        <v>2.2000000000000002</v>
      </c>
      <c r="I162" s="186">
        <f>IF(ALECA_Input!$F$13="ICAO (3000ft)",'Aircraft Calc'!E$211,'Aircraft Calc'!I$211)</f>
        <v>4</v>
      </c>
      <c r="J162" s="189">
        <v>1</v>
      </c>
      <c r="K162" s="187">
        <f t="shared" si="37"/>
        <v>187.5</v>
      </c>
      <c r="L162" s="187">
        <f t="shared" si="38"/>
        <v>2.8327458000000001</v>
      </c>
      <c r="M162" s="187">
        <f t="shared" si="39"/>
        <v>1.4907575999999999E-2</v>
      </c>
      <c r="N162" s="187">
        <f t="shared" si="40"/>
        <v>0.24930863999999997</v>
      </c>
      <c r="O162" s="187">
        <f t="shared" si="41"/>
        <v>1.9190322890508808E-2</v>
      </c>
      <c r="P162" s="188">
        <f t="shared" si="42"/>
        <v>6.3590324858257152E+16</v>
      </c>
      <c r="Q162" s="187">
        <f t="shared" si="43"/>
        <v>5220</v>
      </c>
      <c r="R162" s="219">
        <f t="shared" si="44"/>
        <v>19.157399999999999</v>
      </c>
      <c r="S162" s="219">
        <f t="shared" si="45"/>
        <v>26.053019999999997</v>
      </c>
      <c r="T162" s="219">
        <f t="shared" si="46"/>
        <v>232.44659999999999</v>
      </c>
      <c r="U162" s="219">
        <f t="shared" si="47"/>
        <v>0.44002539780275757</v>
      </c>
      <c r="V162" s="188">
        <f t="shared" si="48"/>
        <v>1196198930986794.3</v>
      </c>
      <c r="W162" s="323">
        <v>0.86599999999999999</v>
      </c>
      <c r="X162" s="323">
        <v>0.71399999999999997</v>
      </c>
      <c r="Y162" s="323">
        <v>0.23699999999999999</v>
      </c>
      <c r="Z162" s="323">
        <v>8.6999999999999994E-2</v>
      </c>
      <c r="AA162" s="323">
        <v>20.83</v>
      </c>
      <c r="AB162" s="323">
        <v>16.93</v>
      </c>
      <c r="AC162" s="323">
        <v>8.43</v>
      </c>
      <c r="AD162" s="323">
        <v>3.67</v>
      </c>
      <c r="AE162" s="323">
        <v>4.5999999999999999E-2</v>
      </c>
      <c r="AF162" s="323">
        <v>6.8000000000000005E-2</v>
      </c>
      <c r="AG162" s="323">
        <v>0.12</v>
      </c>
      <c r="AH162" s="323">
        <v>4.9909999999999997</v>
      </c>
      <c r="AI162" s="323">
        <v>0.84</v>
      </c>
      <c r="AJ162" s="323">
        <v>0.42</v>
      </c>
      <c r="AK162" s="323">
        <v>3.15</v>
      </c>
      <c r="AL162" s="323">
        <v>44.53</v>
      </c>
      <c r="AM162" s="323">
        <v>9.4098903907546813E-2</v>
      </c>
      <c r="AN162" s="323">
        <v>5.6894047479270259E-2</v>
      </c>
      <c r="AO162" s="323">
        <v>2.8513682622583044E-3</v>
      </c>
      <c r="AP162" s="323">
        <v>4.5415832189190618E-3</v>
      </c>
      <c r="AQ162" s="323">
        <v>0.14834890390754682</v>
      </c>
      <c r="AR162" s="323">
        <v>0.11102204747927027</v>
      </c>
      <c r="AS162" s="323">
        <v>5.8561368262258315E-2</v>
      </c>
      <c r="AT162" s="323">
        <v>8.4296053218919073E-2</v>
      </c>
      <c r="AU162" s="190">
        <v>593499295974325.5</v>
      </c>
      <c r="AV162" s="190">
        <v>358841343755212.81</v>
      </c>
      <c r="AW162" s="190">
        <v>143872881484488.09</v>
      </c>
      <c r="AX162" s="190">
        <v>229156883330803.5</v>
      </c>
      <c r="AY162" s="203">
        <v>3.3</v>
      </c>
      <c r="AZ162" s="239">
        <v>83.7</v>
      </c>
      <c r="BA162" s="203">
        <v>2007</v>
      </c>
      <c r="BB162" s="204">
        <v>41212</v>
      </c>
      <c r="BC162" s="203" t="s">
        <v>716</v>
      </c>
    </row>
    <row r="163" spans="1:55" x14ac:dyDescent="0.2">
      <c r="A163" s="184" t="s">
        <v>1082</v>
      </c>
      <c r="B163" s="184" t="s">
        <v>1081</v>
      </c>
      <c r="C163" s="184" t="s">
        <v>769</v>
      </c>
      <c r="D163" s="185" t="s">
        <v>1043</v>
      </c>
      <c r="E163" s="184" t="s">
        <v>1083</v>
      </c>
      <c r="F163" s="184" t="s">
        <v>1083</v>
      </c>
      <c r="G163" s="186">
        <f>IF(ALECA_Input!$F$13="ICAO (3000ft)",'Aircraft Calc'!C$211,'Aircraft Calc'!G$211)</f>
        <v>0.7</v>
      </c>
      <c r="H163" s="186">
        <f>IF(ALECA_Input!$F$13="ICAO (3000ft)",'Aircraft Calc'!D$211,'Aircraft Calc'!H$211)</f>
        <v>2.2000000000000002</v>
      </c>
      <c r="I163" s="186">
        <f>IF(ALECA_Input!$F$13="ICAO (3000ft)",'Aircraft Calc'!E$211,'Aircraft Calc'!I$211)</f>
        <v>4</v>
      </c>
      <c r="J163" s="189">
        <v>1</v>
      </c>
      <c r="K163" s="187">
        <f t="shared" si="37"/>
        <v>187.5</v>
      </c>
      <c r="L163" s="187">
        <f t="shared" si="38"/>
        <v>2.8327458000000001</v>
      </c>
      <c r="M163" s="187">
        <f t="shared" si="39"/>
        <v>1.4907575999999999E-2</v>
      </c>
      <c r="N163" s="187">
        <f t="shared" si="40"/>
        <v>0.24930863999999997</v>
      </c>
      <c r="O163" s="187">
        <f t="shared" si="41"/>
        <v>1.9190322890508808E-2</v>
      </c>
      <c r="P163" s="188">
        <f t="shared" si="42"/>
        <v>6.3590324858257152E+16</v>
      </c>
      <c r="Q163" s="187">
        <f t="shared" si="43"/>
        <v>5220</v>
      </c>
      <c r="R163" s="219">
        <f t="shared" si="44"/>
        <v>19.157399999999999</v>
      </c>
      <c r="S163" s="219">
        <f t="shared" si="45"/>
        <v>26.053019999999997</v>
      </c>
      <c r="T163" s="219">
        <f t="shared" si="46"/>
        <v>232.44659999999999</v>
      </c>
      <c r="U163" s="219">
        <f t="shared" si="47"/>
        <v>0.44002539780275757</v>
      </c>
      <c r="V163" s="188">
        <f t="shared" si="48"/>
        <v>1196198930986794.3</v>
      </c>
      <c r="W163" s="323">
        <v>0.86599999999999999</v>
      </c>
      <c r="X163" s="323">
        <v>0.71399999999999997</v>
      </c>
      <c r="Y163" s="323">
        <v>0.23699999999999999</v>
      </c>
      <c r="Z163" s="323">
        <v>8.6999999999999994E-2</v>
      </c>
      <c r="AA163" s="323">
        <v>20.83</v>
      </c>
      <c r="AB163" s="323">
        <v>16.93</v>
      </c>
      <c r="AC163" s="323">
        <v>8.43</v>
      </c>
      <c r="AD163" s="323">
        <v>3.67</v>
      </c>
      <c r="AE163" s="323">
        <v>4.5999999999999999E-2</v>
      </c>
      <c r="AF163" s="323">
        <v>6.8000000000000005E-2</v>
      </c>
      <c r="AG163" s="323">
        <v>0.12</v>
      </c>
      <c r="AH163" s="323">
        <v>4.9909999999999997</v>
      </c>
      <c r="AI163" s="323">
        <v>0.84</v>
      </c>
      <c r="AJ163" s="323">
        <v>0.42</v>
      </c>
      <c r="AK163" s="323">
        <v>3.15</v>
      </c>
      <c r="AL163" s="323">
        <v>44.53</v>
      </c>
      <c r="AM163" s="323">
        <v>9.4098903907546813E-2</v>
      </c>
      <c r="AN163" s="323">
        <v>5.6894047479270259E-2</v>
      </c>
      <c r="AO163" s="323">
        <v>2.8513682622583044E-3</v>
      </c>
      <c r="AP163" s="323">
        <v>4.5415832189190618E-3</v>
      </c>
      <c r="AQ163" s="323">
        <v>0.14834890390754682</v>
      </c>
      <c r="AR163" s="323">
        <v>0.11102204747927027</v>
      </c>
      <c r="AS163" s="323">
        <v>5.8561368262258315E-2</v>
      </c>
      <c r="AT163" s="323">
        <v>8.4296053218919073E-2</v>
      </c>
      <c r="AU163" s="190">
        <v>593499295974325.5</v>
      </c>
      <c r="AV163" s="190">
        <v>358841343755212.81</v>
      </c>
      <c r="AW163" s="190">
        <v>143872881484488.09</v>
      </c>
      <c r="AX163" s="190">
        <v>229156883330803.5</v>
      </c>
      <c r="AY163" s="203">
        <v>3.3</v>
      </c>
      <c r="AZ163" s="239">
        <v>83.7</v>
      </c>
      <c r="BA163" s="203">
        <v>2007</v>
      </c>
      <c r="BB163" s="204">
        <v>41212</v>
      </c>
      <c r="BC163" s="203" t="s">
        <v>716</v>
      </c>
    </row>
    <row r="164" spans="1:55" x14ac:dyDescent="0.2">
      <c r="A164" s="184" t="s">
        <v>662</v>
      </c>
      <c r="B164" s="184" t="s">
        <v>1084</v>
      </c>
      <c r="C164" s="184" t="s">
        <v>1052</v>
      </c>
      <c r="D164" s="185" t="s">
        <v>1043</v>
      </c>
      <c r="E164" s="184" t="s">
        <v>1085</v>
      </c>
      <c r="F164" s="184" t="s">
        <v>1086</v>
      </c>
      <c r="G164" s="186">
        <f>IF(ALECA_Input!$F$13="ICAO (3000ft)",'Aircraft Calc'!C$211,'Aircraft Calc'!G$211)</f>
        <v>0.7</v>
      </c>
      <c r="H164" s="186">
        <f>IF(ALECA_Input!$F$13="ICAO (3000ft)",'Aircraft Calc'!D$211,'Aircraft Calc'!H$211)</f>
        <v>2.2000000000000002</v>
      </c>
      <c r="I164" s="186">
        <f>IF(ALECA_Input!$F$13="ICAO (3000ft)",'Aircraft Calc'!E$211,'Aircraft Calc'!I$211)</f>
        <v>4</v>
      </c>
      <c r="J164" s="189">
        <v>1</v>
      </c>
      <c r="K164" s="187">
        <f t="shared" si="37"/>
        <v>213.876</v>
      </c>
      <c r="L164" s="187">
        <f t="shared" si="38"/>
        <v>2.9013684</v>
      </c>
      <c r="M164" s="187">
        <f t="shared" si="39"/>
        <v>1.238448E-2</v>
      </c>
      <c r="N164" s="187">
        <f t="shared" si="40"/>
        <v>0.39955560000000001</v>
      </c>
      <c r="O164" s="187">
        <f t="shared" si="41"/>
        <v>1.5703034137859718E-2</v>
      </c>
      <c r="P164" s="188">
        <f t="shared" si="42"/>
        <v>1.004207626312941E+17</v>
      </c>
      <c r="Q164" s="187">
        <f t="shared" si="43"/>
        <v>6840</v>
      </c>
      <c r="R164" s="219">
        <f t="shared" si="44"/>
        <v>26.675999999999998</v>
      </c>
      <c r="S164" s="219">
        <f t="shared" si="45"/>
        <v>15.595200000000002</v>
      </c>
      <c r="T164" s="219">
        <f t="shared" si="46"/>
        <v>235.29599999999999</v>
      </c>
      <c r="U164" s="219">
        <f t="shared" si="47"/>
        <v>0.59673407219065433</v>
      </c>
      <c r="V164" s="188">
        <f t="shared" si="48"/>
        <v>8357036084779694</v>
      </c>
      <c r="W164" s="323">
        <v>0.94599999999999995</v>
      </c>
      <c r="X164" s="323">
        <v>0.79200000000000004</v>
      </c>
      <c r="Y164" s="323">
        <v>0.28999999999999998</v>
      </c>
      <c r="Z164" s="323">
        <v>0.114</v>
      </c>
      <c r="AA164" s="323">
        <v>17.7</v>
      </c>
      <c r="AB164" s="323">
        <v>15.5</v>
      </c>
      <c r="AC164" s="323">
        <v>8.3000000000000007</v>
      </c>
      <c r="AD164" s="323">
        <v>3.9</v>
      </c>
      <c r="AE164" s="323">
        <v>0.04</v>
      </c>
      <c r="AF164" s="323">
        <v>0.05</v>
      </c>
      <c r="AG164" s="323">
        <v>0.08</v>
      </c>
      <c r="AH164" s="323">
        <v>2.2800000000000002</v>
      </c>
      <c r="AI164" s="323">
        <v>0.9</v>
      </c>
      <c r="AJ164" s="323">
        <v>0.95000000000000007</v>
      </c>
      <c r="AK164" s="323">
        <v>3.8000000000000003</v>
      </c>
      <c r="AL164" s="323">
        <v>34.4</v>
      </c>
      <c r="AM164" s="323">
        <v>2.8821833585052945E-2</v>
      </c>
      <c r="AN164" s="323">
        <v>1.4716646916039203E-2</v>
      </c>
      <c r="AO164" s="323">
        <v>2.3775065383160768E-2</v>
      </c>
      <c r="AP164" s="323">
        <v>2.4214223419686327E-2</v>
      </c>
      <c r="AQ164" s="323">
        <v>8.2381833585052952E-2</v>
      </c>
      <c r="AR164" s="323">
        <v>6.7476646916039218E-2</v>
      </c>
      <c r="AS164" s="323">
        <v>7.7235065383160759E-2</v>
      </c>
      <c r="AT164" s="323">
        <v>8.724182341968631E-2</v>
      </c>
      <c r="AU164" s="190">
        <v>181784667313709.25</v>
      </c>
      <c r="AV164" s="190">
        <v>92820630433204.188</v>
      </c>
      <c r="AW164" s="190">
        <v>1199630089677829</v>
      </c>
      <c r="AX164" s="190">
        <v>1221788901283581</v>
      </c>
      <c r="AY164" s="203">
        <v>3.6</v>
      </c>
      <c r="AZ164" s="239">
        <v>89.41</v>
      </c>
      <c r="BA164" s="203">
        <v>1983</v>
      </c>
      <c r="BB164" s="204">
        <v>38148</v>
      </c>
      <c r="BC164" s="203" t="s">
        <v>1087</v>
      </c>
    </row>
    <row r="165" spans="1:55" x14ac:dyDescent="0.2">
      <c r="A165" s="184" t="s">
        <v>1089</v>
      </c>
      <c r="B165" s="184" t="s">
        <v>1088</v>
      </c>
      <c r="C165" s="184" t="s">
        <v>1052</v>
      </c>
      <c r="D165" s="185" t="s">
        <v>1043</v>
      </c>
      <c r="E165" s="184" t="s">
        <v>1090</v>
      </c>
      <c r="F165" s="184" t="s">
        <v>1091</v>
      </c>
      <c r="G165" s="186">
        <f>IF(ALECA_Input!$F$13="ICAO (3000ft)",'Aircraft Calc'!C$211,'Aircraft Calc'!G$211)</f>
        <v>0.7</v>
      </c>
      <c r="H165" s="186">
        <f>IF(ALECA_Input!$F$13="ICAO (3000ft)",'Aircraft Calc'!D$211,'Aircraft Calc'!H$211)</f>
        <v>2.2000000000000002</v>
      </c>
      <c r="I165" s="186">
        <f>IF(ALECA_Input!$F$13="ICAO (3000ft)",'Aircraft Calc'!E$211,'Aircraft Calc'!I$211)</f>
        <v>4</v>
      </c>
      <c r="J165" s="189">
        <v>1</v>
      </c>
      <c r="K165" s="187">
        <f t="shared" si="37"/>
        <v>235.608</v>
      </c>
      <c r="L165" s="187">
        <f t="shared" si="38"/>
        <v>3.4515240000000005</v>
      </c>
      <c r="M165" s="187">
        <f t="shared" si="39"/>
        <v>1.2545064E-2</v>
      </c>
      <c r="N165" s="187">
        <f t="shared" si="40"/>
        <v>0.4004472</v>
      </c>
      <c r="O165" s="187">
        <f t="shared" si="41"/>
        <v>1.8509930301027915E-2</v>
      </c>
      <c r="P165" s="188">
        <f t="shared" si="42"/>
        <v>1.1737257204706798E+17</v>
      </c>
      <c r="Q165" s="187">
        <f t="shared" si="43"/>
        <v>7140</v>
      </c>
      <c r="R165" s="219">
        <f t="shared" si="44"/>
        <v>29.273999999999997</v>
      </c>
      <c r="S165" s="219">
        <f t="shared" si="45"/>
        <v>12.494999999999999</v>
      </c>
      <c r="T165" s="219">
        <f t="shared" si="46"/>
        <v>214.91399999999999</v>
      </c>
      <c r="U165" s="219">
        <f t="shared" si="47"/>
        <v>0.59955810521656039</v>
      </c>
      <c r="V165" s="188">
        <f t="shared" si="48"/>
        <v>8723572755164768</v>
      </c>
      <c r="W165" s="323">
        <v>1.056</v>
      </c>
      <c r="X165" s="323">
        <v>0.878</v>
      </c>
      <c r="Y165" s="323">
        <v>0.314</v>
      </c>
      <c r="Z165" s="323">
        <v>0.11899999999999999</v>
      </c>
      <c r="AA165" s="323">
        <v>19.400000000000002</v>
      </c>
      <c r="AB165" s="323">
        <v>16.7</v>
      </c>
      <c r="AC165" s="323">
        <v>8.7000000000000011</v>
      </c>
      <c r="AD165" s="323">
        <v>4.0999999999999996</v>
      </c>
      <c r="AE165" s="323">
        <v>3.5999999999999997E-2</v>
      </c>
      <c r="AF165" s="323">
        <v>4.7E-2</v>
      </c>
      <c r="AG165" s="323">
        <v>7.2999999999999995E-2</v>
      </c>
      <c r="AH165" s="323">
        <v>1.75</v>
      </c>
      <c r="AI165" s="323">
        <v>0.9</v>
      </c>
      <c r="AJ165" s="323">
        <v>0.9</v>
      </c>
      <c r="AK165" s="323">
        <v>3.4</v>
      </c>
      <c r="AL165" s="323">
        <v>30.1</v>
      </c>
      <c r="AM165" s="323">
        <v>4.3011058111558739E-2</v>
      </c>
      <c r="AN165" s="323">
        <v>2.0433858393637951E-2</v>
      </c>
      <c r="AO165" s="323">
        <v>2.3775065383160768E-2</v>
      </c>
      <c r="AP165" s="323">
        <v>2.4214223419686327E-2</v>
      </c>
      <c r="AQ165" s="323">
        <v>9.6111058111558734E-2</v>
      </c>
      <c r="AR165" s="323">
        <v>7.296585839363795E-2</v>
      </c>
      <c r="AS165" s="323">
        <v>7.684131538316076E-2</v>
      </c>
      <c r="AT165" s="323">
        <v>8.3971723419686325E-2</v>
      </c>
      <c r="AU165" s="190">
        <v>271278746598382.25</v>
      </c>
      <c r="AV165" s="190">
        <v>128880147026776.91</v>
      </c>
      <c r="AW165" s="190">
        <v>1199630089677829</v>
      </c>
      <c r="AX165" s="190">
        <v>1221788901283581</v>
      </c>
      <c r="AY165" s="203">
        <v>4.2</v>
      </c>
      <c r="AZ165" s="239">
        <v>98.3</v>
      </c>
      <c r="BA165" s="203">
        <v>1983</v>
      </c>
      <c r="BB165" s="204">
        <v>38148</v>
      </c>
      <c r="BC165" s="203" t="s">
        <v>1092</v>
      </c>
    </row>
    <row r="166" spans="1:55" x14ac:dyDescent="0.2">
      <c r="A166" s="184" t="s">
        <v>1094</v>
      </c>
      <c r="B166" s="184" t="s">
        <v>1093</v>
      </c>
      <c r="C166" s="184" t="s">
        <v>1052</v>
      </c>
      <c r="D166" s="185" t="s">
        <v>1043</v>
      </c>
      <c r="E166" s="184" t="s">
        <v>1095</v>
      </c>
      <c r="F166" s="184" t="s">
        <v>1096</v>
      </c>
      <c r="G166" s="186">
        <f>IF(ALECA_Input!$F$13="ICAO (3000ft)",'Aircraft Calc'!C$211,'Aircraft Calc'!G$211)</f>
        <v>0.7</v>
      </c>
      <c r="H166" s="186">
        <f>IF(ALECA_Input!$F$13="ICAO (3000ft)",'Aircraft Calc'!D$211,'Aircraft Calc'!H$211)</f>
        <v>2.2000000000000002</v>
      </c>
      <c r="I166" s="186">
        <f>IF(ALECA_Input!$F$13="ICAO (3000ft)",'Aircraft Calc'!E$211,'Aircraft Calc'!I$211)</f>
        <v>4</v>
      </c>
      <c r="J166" s="189">
        <v>1</v>
      </c>
      <c r="K166" s="187">
        <f t="shared" si="37"/>
        <v>255.036</v>
      </c>
      <c r="L166" s="187">
        <f t="shared" si="38"/>
        <v>3.9786299999999999</v>
      </c>
      <c r="M166" s="187">
        <f t="shared" si="39"/>
        <v>1.2135960000000001E-2</v>
      </c>
      <c r="N166" s="187">
        <f t="shared" si="40"/>
        <v>0.40694040000000004</v>
      </c>
      <c r="O166" s="187">
        <f t="shared" si="41"/>
        <v>2.1669843117679857E-2</v>
      </c>
      <c r="P166" s="188">
        <f t="shared" si="42"/>
        <v>1.3709472298993352E+17</v>
      </c>
      <c r="Q166" s="187">
        <f t="shared" si="43"/>
        <v>7439.9999999999991</v>
      </c>
      <c r="R166" s="219">
        <f t="shared" si="44"/>
        <v>31.991999999999997</v>
      </c>
      <c r="S166" s="219">
        <f t="shared" si="45"/>
        <v>10.564799999999998</v>
      </c>
      <c r="T166" s="219">
        <f t="shared" si="46"/>
        <v>199.392</v>
      </c>
      <c r="U166" s="219">
        <f t="shared" si="47"/>
        <v>0.62393658775991645</v>
      </c>
      <c r="V166" s="188">
        <f t="shared" si="48"/>
        <v>9813445251384426</v>
      </c>
      <c r="W166" s="323">
        <v>1.1539999999999999</v>
      </c>
      <c r="X166" s="323">
        <v>0.95399999999999996</v>
      </c>
      <c r="Y166" s="323">
        <v>0.33600000000000002</v>
      </c>
      <c r="Z166" s="323">
        <v>0.124</v>
      </c>
      <c r="AA166" s="323">
        <v>20.7</v>
      </c>
      <c r="AB166" s="323">
        <v>17.8</v>
      </c>
      <c r="AC166" s="323">
        <v>9.1</v>
      </c>
      <c r="AD166" s="323">
        <v>4.3</v>
      </c>
      <c r="AE166" s="323">
        <v>0.03</v>
      </c>
      <c r="AF166" s="323">
        <v>0.04</v>
      </c>
      <c r="AG166" s="323">
        <v>7.0000000000000007E-2</v>
      </c>
      <c r="AH166" s="323">
        <v>1.42</v>
      </c>
      <c r="AI166" s="323">
        <v>0.9</v>
      </c>
      <c r="AJ166" s="323">
        <v>0.9</v>
      </c>
      <c r="AK166" s="323">
        <v>3.1</v>
      </c>
      <c r="AL166" s="323">
        <v>26.8</v>
      </c>
      <c r="AM166" s="323">
        <v>5.0327885194277014E-2</v>
      </c>
      <c r="AN166" s="323">
        <v>3.1440280363267542E-2</v>
      </c>
      <c r="AO166" s="323">
        <v>2.3775065383160768E-2</v>
      </c>
      <c r="AP166" s="323">
        <v>2.6141044591386636E-2</v>
      </c>
      <c r="AQ166" s="323">
        <v>0.10273788519427701</v>
      </c>
      <c r="AR166" s="323">
        <v>8.3440280363267547E-2</v>
      </c>
      <c r="AS166" s="323">
        <v>7.6672565383160765E-2</v>
      </c>
      <c r="AT166" s="323">
        <v>8.3862444591386628E-2</v>
      </c>
      <c r="AU166" s="190">
        <v>317427336454707.94</v>
      </c>
      <c r="AV166" s="190">
        <v>198299698359591.28</v>
      </c>
      <c r="AW166" s="190">
        <v>1199630089677829</v>
      </c>
      <c r="AX166" s="190">
        <v>1319011458519412.3</v>
      </c>
      <c r="AY166" s="203">
        <v>4.8</v>
      </c>
      <c r="AZ166" s="239">
        <v>104.60000000000001</v>
      </c>
      <c r="BA166" s="203">
        <v>1983</v>
      </c>
      <c r="BB166" s="204">
        <v>35684</v>
      </c>
      <c r="BC166" s="203" t="s">
        <v>741</v>
      </c>
    </row>
    <row r="167" spans="1:55" x14ac:dyDescent="0.2">
      <c r="A167" s="184" t="s">
        <v>1098</v>
      </c>
      <c r="B167" s="184" t="s">
        <v>1097</v>
      </c>
      <c r="C167" s="184" t="s">
        <v>1052</v>
      </c>
      <c r="D167" s="185" t="s">
        <v>1043</v>
      </c>
      <c r="E167" s="184" t="s">
        <v>1099</v>
      </c>
      <c r="F167" s="184" t="s">
        <v>1100</v>
      </c>
      <c r="G167" s="186">
        <f>IF(ALECA_Input!$F$13="ICAO (3000ft)",'Aircraft Calc'!C$211,'Aircraft Calc'!G$211)</f>
        <v>0.7</v>
      </c>
      <c r="H167" s="186">
        <f>IF(ALECA_Input!$F$13="ICAO (3000ft)",'Aircraft Calc'!D$211,'Aircraft Calc'!H$211)</f>
        <v>2.2000000000000002</v>
      </c>
      <c r="I167" s="186">
        <f>IF(ALECA_Input!$F$13="ICAO (3000ft)",'Aircraft Calc'!E$211,'Aircraft Calc'!I$211)</f>
        <v>4</v>
      </c>
      <c r="J167" s="189">
        <v>1</v>
      </c>
      <c r="K167" s="187">
        <f t="shared" si="37"/>
        <v>198.768</v>
      </c>
      <c r="L167" s="187">
        <f t="shared" si="38"/>
        <v>2.5524912000000004</v>
      </c>
      <c r="M167" s="187">
        <f t="shared" si="39"/>
        <v>1.1904000000000001E-2</v>
      </c>
      <c r="N167" s="187">
        <f t="shared" si="40"/>
        <v>0.40476960000000006</v>
      </c>
      <c r="O167" s="187">
        <f t="shared" si="41"/>
        <v>1.4146487373702346E-2</v>
      </c>
      <c r="P167" s="188">
        <f t="shared" si="42"/>
        <v>9.1116151019993184E+16</v>
      </c>
      <c r="Q167" s="187">
        <f t="shared" si="43"/>
        <v>6660</v>
      </c>
      <c r="R167" s="219">
        <f t="shared" si="44"/>
        <v>25.308000000000003</v>
      </c>
      <c r="S167" s="219">
        <f t="shared" si="45"/>
        <v>19.047599999999999</v>
      </c>
      <c r="T167" s="219">
        <f t="shared" si="46"/>
        <v>253.74600000000001</v>
      </c>
      <c r="U167" s="219">
        <f t="shared" si="47"/>
        <v>0.59270405452718988</v>
      </c>
      <c r="V167" s="188">
        <f t="shared" si="48"/>
        <v>7523552765022234</v>
      </c>
      <c r="W167" s="323">
        <v>0.872</v>
      </c>
      <c r="X167" s="323">
        <v>0.73199999999999998</v>
      </c>
      <c r="Y167" s="323">
        <v>0.27300000000000002</v>
      </c>
      <c r="Z167" s="323">
        <v>0.111</v>
      </c>
      <c r="AA167" s="323">
        <v>16.600000000000001</v>
      </c>
      <c r="AB167" s="323">
        <v>14.700000000000001</v>
      </c>
      <c r="AC167" s="323">
        <v>8</v>
      </c>
      <c r="AD167" s="323">
        <v>3.8000000000000003</v>
      </c>
      <c r="AE167" s="323">
        <v>0.05</v>
      </c>
      <c r="AF167" s="323">
        <v>0.05</v>
      </c>
      <c r="AG167" s="323">
        <v>0.08</v>
      </c>
      <c r="AH167" s="323">
        <v>2.86</v>
      </c>
      <c r="AI167" s="323">
        <v>0.9</v>
      </c>
      <c r="AJ167" s="323">
        <v>1</v>
      </c>
      <c r="AK167" s="323">
        <v>4.2</v>
      </c>
      <c r="AL167" s="323">
        <v>38.1</v>
      </c>
      <c r="AM167" s="323">
        <v>1.8075579517977284E-2</v>
      </c>
      <c r="AN167" s="323">
        <v>1.3686709156433731E-2</v>
      </c>
      <c r="AO167" s="323">
        <v>2.3775065383160768E-2</v>
      </c>
      <c r="AP167" s="323">
        <v>2.2388402781860346E-2</v>
      </c>
      <c r="AQ167" s="323">
        <v>7.2785579517977289E-2</v>
      </c>
      <c r="AR167" s="323">
        <v>6.6446709156433734E-2</v>
      </c>
      <c r="AS167" s="323">
        <v>7.7235065383160759E-2</v>
      </c>
      <c r="AT167" s="323">
        <v>8.8994602781860346E-2</v>
      </c>
      <c r="AU167" s="190">
        <v>114006043351872.41</v>
      </c>
      <c r="AV167" s="190">
        <v>86324621342345.922</v>
      </c>
      <c r="AW167" s="190">
        <v>1199630089677829</v>
      </c>
      <c r="AX167" s="190">
        <v>1129662577330665.8</v>
      </c>
      <c r="AY167" s="203">
        <v>3.2</v>
      </c>
      <c r="AZ167" s="239">
        <v>82.29</v>
      </c>
      <c r="BA167" s="203">
        <v>1983</v>
      </c>
      <c r="BB167" s="204">
        <v>39294</v>
      </c>
      <c r="BC167" s="203" t="s">
        <v>1101</v>
      </c>
    </row>
    <row r="168" spans="1:55" x14ac:dyDescent="0.2">
      <c r="A168" s="184" t="s">
        <v>1103</v>
      </c>
      <c r="B168" s="184" t="s">
        <v>1102</v>
      </c>
      <c r="C168" s="184" t="s">
        <v>1052</v>
      </c>
      <c r="D168" s="185" t="s">
        <v>1043</v>
      </c>
      <c r="E168" s="184" t="s">
        <v>1104</v>
      </c>
      <c r="F168" s="184" t="s">
        <v>1104</v>
      </c>
      <c r="G168" s="186">
        <f>IF(ALECA_Input!$F$13="ICAO (3000ft)",'Aircraft Calc'!C$211,'Aircraft Calc'!G$211)</f>
        <v>0.7</v>
      </c>
      <c r="H168" s="186">
        <f>IF(ALECA_Input!$F$13="ICAO (3000ft)",'Aircraft Calc'!D$211,'Aircraft Calc'!H$211)</f>
        <v>2.2000000000000002</v>
      </c>
      <c r="I168" s="186">
        <f>IF(ALECA_Input!$F$13="ICAO (3000ft)",'Aircraft Calc'!E$211,'Aircraft Calc'!I$211)</f>
        <v>4</v>
      </c>
      <c r="J168" s="189">
        <v>1</v>
      </c>
      <c r="K168" s="187">
        <f t="shared" si="37"/>
        <v>211.548</v>
      </c>
      <c r="L168" s="187">
        <f t="shared" si="38"/>
        <v>2.8003910400000001</v>
      </c>
      <c r="M168" s="187">
        <f t="shared" si="39"/>
        <v>8.6137200000000001E-3</v>
      </c>
      <c r="N168" s="187">
        <f t="shared" si="40"/>
        <v>0.31912164000000004</v>
      </c>
      <c r="O168" s="187">
        <f t="shared" si="41"/>
        <v>2.1016512746380726E-2</v>
      </c>
      <c r="P168" s="188">
        <f t="shared" si="42"/>
        <v>1.1323393597663779E+17</v>
      </c>
      <c r="Q168" s="187">
        <f t="shared" si="43"/>
        <v>5700</v>
      </c>
      <c r="R168" s="219">
        <f t="shared" si="44"/>
        <v>22.344000000000001</v>
      </c>
      <c r="S168" s="219">
        <f t="shared" si="45"/>
        <v>17.157</v>
      </c>
      <c r="T168" s="219">
        <f t="shared" si="46"/>
        <v>221.16</v>
      </c>
      <c r="U168" s="219">
        <f t="shared" si="47"/>
        <v>0.50755932206654486</v>
      </c>
      <c r="V168" s="188">
        <f t="shared" si="48"/>
        <v>6187532800109643</v>
      </c>
      <c r="W168" s="323">
        <v>0.95599999999999996</v>
      </c>
      <c r="X168" s="323">
        <v>0.79300000000000004</v>
      </c>
      <c r="Y168" s="323">
        <v>0.27800000000000002</v>
      </c>
      <c r="Z168" s="323">
        <v>9.5000000000000001E-2</v>
      </c>
      <c r="AA168" s="323">
        <v>17.54</v>
      </c>
      <c r="AB168" s="323">
        <v>14.76</v>
      </c>
      <c r="AC168" s="323">
        <v>8.26</v>
      </c>
      <c r="AD168" s="323">
        <v>3.92</v>
      </c>
      <c r="AE168" s="323">
        <v>0.02</v>
      </c>
      <c r="AF168" s="323">
        <v>0.03</v>
      </c>
      <c r="AG168" s="323">
        <v>7.0000000000000007E-2</v>
      </c>
      <c r="AH168" s="323">
        <v>3.01</v>
      </c>
      <c r="AI168" s="323">
        <v>0.16</v>
      </c>
      <c r="AJ168" s="323">
        <v>0.17</v>
      </c>
      <c r="AK168" s="323">
        <v>4.42</v>
      </c>
      <c r="AL168" s="323">
        <v>38.799999999999997</v>
      </c>
      <c r="AM168" s="323">
        <v>6.5547675667897695E-2</v>
      </c>
      <c r="AN168" s="323">
        <v>6.0249804772815781E-2</v>
      </c>
      <c r="AO168" s="323">
        <v>1.688883316193094E-2</v>
      </c>
      <c r="AP168" s="323">
        <v>2.1513795099393822E-2</v>
      </c>
      <c r="AQ168" s="323">
        <v>0.1168076756678977</v>
      </c>
      <c r="AR168" s="323">
        <v>0.11148980477281578</v>
      </c>
      <c r="AS168" s="323">
        <v>6.9786333161930947E-2</v>
      </c>
      <c r="AT168" s="323">
        <v>8.9045495099393829E-2</v>
      </c>
      <c r="AU168" s="190">
        <v>413421386925748.19</v>
      </c>
      <c r="AV168" s="190">
        <v>380006729413018</v>
      </c>
      <c r="AW168" s="190">
        <v>852168106126469.88</v>
      </c>
      <c r="AX168" s="190">
        <v>1085532070194674.3</v>
      </c>
      <c r="AY168" s="203">
        <v>3.4</v>
      </c>
      <c r="AZ168" s="239">
        <v>103.6</v>
      </c>
      <c r="BA168" s="203">
        <v>2006</v>
      </c>
      <c r="BB168" s="204">
        <v>39294</v>
      </c>
      <c r="BC168" s="203" t="s">
        <v>1105</v>
      </c>
    </row>
    <row r="169" spans="1:55" x14ac:dyDescent="0.2">
      <c r="A169" s="184" t="s">
        <v>1107</v>
      </c>
      <c r="B169" s="184" t="s">
        <v>1106</v>
      </c>
      <c r="C169" s="184" t="s">
        <v>1052</v>
      </c>
      <c r="D169" s="185" t="s">
        <v>1043</v>
      </c>
      <c r="E169" s="184" t="s">
        <v>1108</v>
      </c>
      <c r="F169" s="184" t="s">
        <v>1108</v>
      </c>
      <c r="G169" s="186">
        <f>IF(ALECA_Input!$F$13="ICAO (3000ft)",'Aircraft Calc'!C$211,'Aircraft Calc'!G$211)</f>
        <v>0.7</v>
      </c>
      <c r="H169" s="186">
        <f>IF(ALECA_Input!$F$13="ICAO (3000ft)",'Aircraft Calc'!D$211,'Aircraft Calc'!H$211)</f>
        <v>2.2000000000000002</v>
      </c>
      <c r="I169" s="186">
        <f>IF(ALECA_Input!$F$13="ICAO (3000ft)",'Aircraft Calc'!E$211,'Aircraft Calc'!I$211)</f>
        <v>4</v>
      </c>
      <c r="J169" s="189">
        <v>1</v>
      </c>
      <c r="K169" s="187">
        <f t="shared" si="37"/>
        <v>212.07600000000002</v>
      </c>
      <c r="L169" s="187">
        <f t="shared" si="38"/>
        <v>3.3248784000000002</v>
      </c>
      <c r="M169" s="187">
        <f t="shared" si="39"/>
        <v>6.8247600000000005E-2</v>
      </c>
      <c r="N169" s="187">
        <f t="shared" si="40"/>
        <v>0.36454080000000005</v>
      </c>
      <c r="O169" s="187">
        <f t="shared" si="41"/>
        <v>2.1347098472664427E-2</v>
      </c>
      <c r="P169" s="188">
        <f t="shared" si="42"/>
        <v>7.7160416446185344E+16</v>
      </c>
      <c r="Q169" s="187">
        <f t="shared" si="43"/>
        <v>5880</v>
      </c>
      <c r="R169" s="219">
        <f t="shared" si="44"/>
        <v>21.167999999999999</v>
      </c>
      <c r="S169" s="219">
        <f t="shared" si="45"/>
        <v>34.692</v>
      </c>
      <c r="T169" s="219">
        <f t="shared" si="46"/>
        <v>178.75199999999998</v>
      </c>
      <c r="U169" s="219">
        <f t="shared" si="47"/>
        <v>0.59032664409605906</v>
      </c>
      <c r="V169" s="188">
        <f t="shared" si="48"/>
        <v>4460048627318606</v>
      </c>
      <c r="W169" s="323">
        <v>0.95399999999999996</v>
      </c>
      <c r="X169" s="323">
        <v>0.79400000000000004</v>
      </c>
      <c r="Y169" s="323">
        <v>0.28000000000000003</v>
      </c>
      <c r="Z169" s="323">
        <v>9.8000000000000004E-2</v>
      </c>
      <c r="AA169" s="323">
        <v>21.4</v>
      </c>
      <c r="AB169" s="323">
        <v>17.899999999999999</v>
      </c>
      <c r="AC169" s="323">
        <v>8.8000000000000007</v>
      </c>
      <c r="AD169" s="323">
        <v>3.6</v>
      </c>
      <c r="AE169" s="323">
        <v>0.1</v>
      </c>
      <c r="AF169" s="323">
        <v>0.1</v>
      </c>
      <c r="AG169" s="323">
        <v>0.8</v>
      </c>
      <c r="AH169" s="323">
        <v>5.9</v>
      </c>
      <c r="AI169" s="323">
        <v>0.8</v>
      </c>
      <c r="AJ169" s="323">
        <v>0.8</v>
      </c>
      <c r="AK169" s="323">
        <v>3.7</v>
      </c>
      <c r="AL169" s="323">
        <v>30.4</v>
      </c>
      <c r="AM169" s="323">
        <v>3.9794503340500303E-2</v>
      </c>
      <c r="AN169" s="323">
        <v>4.0979892196937484E-2</v>
      </c>
      <c r="AO169" s="323">
        <v>1.1801012075009476E-2</v>
      </c>
      <c r="AP169" s="323">
        <v>1.5032687771438617E-2</v>
      </c>
      <c r="AQ169" s="323">
        <v>0.1002545033405003</v>
      </c>
      <c r="AR169" s="323">
        <v>9.7539892196937483E-2</v>
      </c>
      <c r="AS169" s="323">
        <v>0.10576101207500946</v>
      </c>
      <c r="AT169" s="323">
        <v>0.10039568777143862</v>
      </c>
      <c r="AU169" s="190">
        <v>250991337151385.13</v>
      </c>
      <c r="AV169" s="190">
        <v>258467805234823.22</v>
      </c>
      <c r="AW169" s="190">
        <v>595449431817742.5</v>
      </c>
      <c r="AX169" s="190">
        <v>758511671312688.13</v>
      </c>
      <c r="AY169" s="203">
        <v>3.9</v>
      </c>
      <c r="AZ169" s="239">
        <v>102.2</v>
      </c>
      <c r="BB169" s="204">
        <v>39294</v>
      </c>
      <c r="BC169" s="203" t="s">
        <v>3081</v>
      </c>
    </row>
    <row r="170" spans="1:55" x14ac:dyDescent="0.2">
      <c r="A170" s="184" t="s">
        <v>1111</v>
      </c>
      <c r="B170" s="184" t="s">
        <v>1110</v>
      </c>
      <c r="C170" s="184" t="s">
        <v>1052</v>
      </c>
      <c r="D170" s="185" t="s">
        <v>1043</v>
      </c>
      <c r="E170" s="184" t="s">
        <v>1112</v>
      </c>
      <c r="F170" s="184" t="s">
        <v>1112</v>
      </c>
      <c r="G170" s="186">
        <f>IF(ALECA_Input!$F$13="ICAO (3000ft)",'Aircraft Calc'!C$211,'Aircraft Calc'!G$211)</f>
        <v>0.7</v>
      </c>
      <c r="H170" s="186">
        <f>IF(ALECA_Input!$F$13="ICAO (3000ft)",'Aircraft Calc'!D$211,'Aircraft Calc'!H$211)</f>
        <v>2.2000000000000002</v>
      </c>
      <c r="I170" s="186">
        <f>IF(ALECA_Input!$F$13="ICAO (3000ft)",'Aircraft Calc'!E$211,'Aircraft Calc'!I$211)</f>
        <v>4</v>
      </c>
      <c r="J170" s="189">
        <v>1</v>
      </c>
      <c r="K170" s="187">
        <f t="shared" si="37"/>
        <v>216.87</v>
      </c>
      <c r="L170" s="187">
        <f t="shared" si="38"/>
        <v>2.2294434000000001</v>
      </c>
      <c r="M170" s="187">
        <f t="shared" si="39"/>
        <v>6.8128800000000003E-2</v>
      </c>
      <c r="N170" s="187">
        <f t="shared" si="40"/>
        <v>2.4631806000000003</v>
      </c>
      <c r="O170" s="187">
        <f t="shared" si="41"/>
        <v>1.9608128660796319E-2</v>
      </c>
      <c r="P170" s="188">
        <f t="shared" si="42"/>
        <v>7.6479820436687968E+16</v>
      </c>
      <c r="Q170" s="187">
        <f t="shared" si="43"/>
        <v>6300</v>
      </c>
      <c r="R170" s="219">
        <f t="shared" si="44"/>
        <v>20.16</v>
      </c>
      <c r="S170" s="219">
        <f t="shared" si="45"/>
        <v>27.720000000000002</v>
      </c>
      <c r="T170" s="219">
        <f t="shared" si="46"/>
        <v>277.83</v>
      </c>
      <c r="U170" s="219">
        <f t="shared" si="47"/>
        <v>1.1502740947836108</v>
      </c>
      <c r="V170" s="188">
        <f t="shared" si="48"/>
        <v>3.3846565183309044E+16</v>
      </c>
      <c r="W170" s="323">
        <v>0.96099999999999997</v>
      </c>
      <c r="X170" s="323">
        <v>0.79900000000000004</v>
      </c>
      <c r="Y170" s="323">
        <v>0.29599999999999999</v>
      </c>
      <c r="Z170" s="323">
        <v>0.105</v>
      </c>
      <c r="AA170" s="323">
        <v>13.9</v>
      </c>
      <c r="AB170" s="323">
        <v>10.7</v>
      </c>
      <c r="AC170" s="323">
        <v>7.6</v>
      </c>
      <c r="AD170" s="323">
        <v>3.2</v>
      </c>
      <c r="AE170" s="323">
        <v>0.2</v>
      </c>
      <c r="AF170" s="323">
        <v>0.3</v>
      </c>
      <c r="AG170" s="323">
        <v>0.4</v>
      </c>
      <c r="AH170" s="323">
        <v>4.4000000000000004</v>
      </c>
      <c r="AI170" s="323">
        <v>2.9</v>
      </c>
      <c r="AJ170" s="323">
        <v>8.1</v>
      </c>
      <c r="AK170" s="323">
        <v>21</v>
      </c>
      <c r="AL170" s="323">
        <v>44.1</v>
      </c>
      <c r="AM170" s="323">
        <v>4.5767800404406443E-2</v>
      </c>
      <c r="AN170" s="323">
        <v>1.0041548149891945E-2</v>
      </c>
      <c r="AO170" s="323">
        <v>1.6222340943142739E-2</v>
      </c>
      <c r="AP170" s="323">
        <v>0.10647518964819222</v>
      </c>
      <c r="AQ170" s="323">
        <v>0.11772780040440645</v>
      </c>
      <c r="AR170" s="323">
        <v>8.1801548149891948E-2</v>
      </c>
      <c r="AS170" s="323">
        <v>8.7682340943142756E-2</v>
      </c>
      <c r="AT170" s="323">
        <v>0.1825831896481922</v>
      </c>
      <c r="AU170" s="190">
        <v>288666033187769.88</v>
      </c>
      <c r="AV170" s="190">
        <v>63333912617181.836</v>
      </c>
      <c r="AW170" s="190">
        <v>818538582619007.25</v>
      </c>
      <c r="AX170" s="190">
        <v>5372470664017309</v>
      </c>
      <c r="AY170" s="203">
        <v>2.8</v>
      </c>
      <c r="AZ170" s="239">
        <v>102.2</v>
      </c>
      <c r="BA170" s="203">
        <v>1996</v>
      </c>
      <c r="BB170" s="204">
        <v>39294</v>
      </c>
      <c r="BC170" s="203" t="s">
        <v>3082</v>
      </c>
    </row>
    <row r="171" spans="1:55" x14ac:dyDescent="0.2">
      <c r="A171" s="184" t="s">
        <v>1114</v>
      </c>
      <c r="B171" s="184" t="s">
        <v>1113</v>
      </c>
      <c r="C171" s="184" t="s">
        <v>1052</v>
      </c>
      <c r="D171" s="185" t="s">
        <v>1043</v>
      </c>
      <c r="E171" s="184" t="s">
        <v>1115</v>
      </c>
      <c r="F171" s="184" t="s">
        <v>1115</v>
      </c>
      <c r="G171" s="186">
        <f>IF(ALECA_Input!$F$13="ICAO (3000ft)",'Aircraft Calc'!C$211,'Aircraft Calc'!G$211)</f>
        <v>0.7</v>
      </c>
      <c r="H171" s="186">
        <f>IF(ALECA_Input!$F$13="ICAO (3000ft)",'Aircraft Calc'!D$211,'Aircraft Calc'!H$211)</f>
        <v>2.2000000000000002</v>
      </c>
      <c r="I171" s="186">
        <f>IF(ALECA_Input!$F$13="ICAO (3000ft)",'Aircraft Calc'!E$211,'Aircraft Calc'!I$211)</f>
        <v>4</v>
      </c>
      <c r="J171" s="189">
        <v>1</v>
      </c>
      <c r="K171" s="187">
        <f t="shared" si="37"/>
        <v>271.28399999999999</v>
      </c>
      <c r="L171" s="187">
        <f t="shared" si="38"/>
        <v>5.5766448000000004</v>
      </c>
      <c r="M171" s="187">
        <f t="shared" si="39"/>
        <v>0</v>
      </c>
      <c r="N171" s="187">
        <f t="shared" si="40"/>
        <v>0.31006920000000004</v>
      </c>
      <c r="O171" s="187">
        <f t="shared" si="41"/>
        <v>2.8675351577754291E-2</v>
      </c>
      <c r="P171" s="188">
        <f t="shared" si="42"/>
        <v>2.3185559415607034E+17</v>
      </c>
      <c r="Q171" s="187">
        <f t="shared" si="43"/>
        <v>6540</v>
      </c>
      <c r="R171" s="219">
        <f t="shared" si="44"/>
        <v>25.506</v>
      </c>
      <c r="S171" s="219">
        <f t="shared" si="45"/>
        <v>37.932000000000002</v>
      </c>
      <c r="T171" s="219">
        <f t="shared" si="46"/>
        <v>229.554</v>
      </c>
      <c r="U171" s="219">
        <f t="shared" si="47"/>
        <v>0.86405818249547528</v>
      </c>
      <c r="V171" s="188">
        <f t="shared" si="48"/>
        <v>1.5632705930853752E+16</v>
      </c>
      <c r="W171" s="323">
        <v>1.252</v>
      </c>
      <c r="X171" s="323">
        <v>1.0349999999999999</v>
      </c>
      <c r="Y171" s="323">
        <v>0.34200000000000003</v>
      </c>
      <c r="Z171" s="323">
        <v>0.109</v>
      </c>
      <c r="AA171" s="323">
        <v>29.7</v>
      </c>
      <c r="AB171" s="323">
        <v>23.8</v>
      </c>
      <c r="AC171" s="323">
        <v>9.3000000000000007</v>
      </c>
      <c r="AD171" s="323">
        <v>3.9</v>
      </c>
      <c r="AE171" s="323">
        <v>0</v>
      </c>
      <c r="AF171" s="323">
        <v>0</v>
      </c>
      <c r="AG171" s="323">
        <v>0</v>
      </c>
      <c r="AH171" s="323">
        <v>5.8</v>
      </c>
      <c r="AI171" s="323">
        <v>0.8</v>
      </c>
      <c r="AJ171" s="323">
        <v>0.7</v>
      </c>
      <c r="AK171" s="323">
        <v>2.1</v>
      </c>
      <c r="AL171" s="323">
        <v>35.1</v>
      </c>
      <c r="AM171" s="323">
        <v>6.3239730743070335E-2</v>
      </c>
      <c r="AN171" s="323">
        <v>6.5989046784077701E-2</v>
      </c>
      <c r="AO171" s="323">
        <v>3.7188905515594395E-2</v>
      </c>
      <c r="AP171" s="323">
        <v>4.7372988149155248E-2</v>
      </c>
      <c r="AQ171" s="323">
        <v>0.11219973074307033</v>
      </c>
      <c r="AR171" s="323">
        <v>0.11494904678407769</v>
      </c>
      <c r="AS171" s="323">
        <v>8.6148905515594398E-2</v>
      </c>
      <c r="AT171" s="323">
        <v>0.13211898814915524</v>
      </c>
      <c r="AU171" s="190">
        <v>398864748844412.44</v>
      </c>
      <c r="AV171" s="190">
        <v>416205196681636.69</v>
      </c>
      <c r="AW171" s="190">
        <v>1876458774758656.8</v>
      </c>
      <c r="AX171" s="190">
        <v>2390322007775803</v>
      </c>
      <c r="AY171" s="203">
        <v>6.2</v>
      </c>
      <c r="AZ171" s="239">
        <v>137.61000000000001</v>
      </c>
      <c r="BA171" s="203">
        <v>1991</v>
      </c>
      <c r="BB171" s="204">
        <v>39294</v>
      </c>
      <c r="BC171" s="203" t="s">
        <v>3083</v>
      </c>
    </row>
    <row r="172" spans="1:55" x14ac:dyDescent="0.2">
      <c r="A172" s="184" t="s">
        <v>1117</v>
      </c>
      <c r="B172" s="184" t="s">
        <v>1116</v>
      </c>
      <c r="C172" s="184" t="s">
        <v>1052</v>
      </c>
      <c r="D172" s="185" t="s">
        <v>1043</v>
      </c>
      <c r="E172" s="184" t="s">
        <v>1118</v>
      </c>
      <c r="F172" s="184" t="s">
        <v>1118</v>
      </c>
      <c r="G172" s="186">
        <f>IF(ALECA_Input!$F$13="ICAO (3000ft)",'Aircraft Calc'!C$211,'Aircraft Calc'!G$211)</f>
        <v>0.7</v>
      </c>
      <c r="H172" s="186">
        <f>IF(ALECA_Input!$F$13="ICAO (3000ft)",'Aircraft Calc'!D$211,'Aircraft Calc'!H$211)</f>
        <v>2.2000000000000002</v>
      </c>
      <c r="I172" s="186">
        <f>IF(ALECA_Input!$F$13="ICAO (3000ft)",'Aircraft Calc'!E$211,'Aircraft Calc'!I$211)</f>
        <v>4</v>
      </c>
      <c r="J172" s="189">
        <v>1</v>
      </c>
      <c r="K172" s="187">
        <f t="shared" si="37"/>
        <v>283.69200000000001</v>
      </c>
      <c r="L172" s="187">
        <f t="shared" si="38"/>
        <v>6.1593371999999995</v>
      </c>
      <c r="M172" s="187">
        <f t="shared" si="39"/>
        <v>0</v>
      </c>
      <c r="N172" s="187">
        <f t="shared" si="40"/>
        <v>0.30635159999999995</v>
      </c>
      <c r="O172" s="187">
        <f t="shared" si="41"/>
        <v>3.1300939277703478E-2</v>
      </c>
      <c r="P172" s="188">
        <f t="shared" si="42"/>
        <v>2.7013223582702022E+17</v>
      </c>
      <c r="Q172" s="187">
        <f t="shared" si="43"/>
        <v>6720</v>
      </c>
      <c r="R172" s="219">
        <f t="shared" si="44"/>
        <v>26.88</v>
      </c>
      <c r="S172" s="219">
        <f t="shared" si="45"/>
        <v>36.288000000000004</v>
      </c>
      <c r="T172" s="219">
        <f t="shared" si="46"/>
        <v>224.44799999999998</v>
      </c>
      <c r="U172" s="219">
        <f t="shared" si="47"/>
        <v>0.91773661066813828</v>
      </c>
      <c r="V172" s="188">
        <f t="shared" si="48"/>
        <v>1.8408327377388596E+16</v>
      </c>
      <c r="W172" s="323">
        <v>1.3160000000000001</v>
      </c>
      <c r="X172" s="323">
        <v>1.085</v>
      </c>
      <c r="Y172" s="323">
        <v>0.35499999999999998</v>
      </c>
      <c r="Z172" s="323">
        <v>0.112</v>
      </c>
      <c r="AA172" s="323">
        <v>31.6</v>
      </c>
      <c r="AB172" s="323">
        <v>25.1</v>
      </c>
      <c r="AC172" s="323">
        <v>9.6</v>
      </c>
      <c r="AD172" s="323">
        <v>4</v>
      </c>
      <c r="AE172" s="323">
        <v>0</v>
      </c>
      <c r="AF172" s="323">
        <v>0</v>
      </c>
      <c r="AG172" s="323">
        <v>0</v>
      </c>
      <c r="AH172" s="323">
        <v>5.4</v>
      </c>
      <c r="AI172" s="323">
        <v>0.8</v>
      </c>
      <c r="AJ172" s="323">
        <v>0.7</v>
      </c>
      <c r="AK172" s="323">
        <v>1.9</v>
      </c>
      <c r="AL172" s="323">
        <v>33.4</v>
      </c>
      <c r="AM172" s="323">
        <v>6.7635821280363315E-2</v>
      </c>
      <c r="AN172" s="323">
        <v>7.0115089916817294E-2</v>
      </c>
      <c r="AO172" s="323">
        <v>4.2618881056439753E-2</v>
      </c>
      <c r="AP172" s="323">
        <v>5.4289948016092021E-2</v>
      </c>
      <c r="AQ172" s="323">
        <v>0.11659582128036333</v>
      </c>
      <c r="AR172" s="323">
        <v>0.11907508991681728</v>
      </c>
      <c r="AS172" s="323">
        <v>9.1578881056439743E-2</v>
      </c>
      <c r="AT172" s="323">
        <v>0.13656794801609201</v>
      </c>
      <c r="AU172" s="190">
        <v>426591709845852.13</v>
      </c>
      <c r="AV172" s="190">
        <v>442228918454704.5</v>
      </c>
      <c r="AW172" s="190">
        <v>2150441703513351.3</v>
      </c>
      <c r="AX172" s="190">
        <v>2739334431159017.5</v>
      </c>
      <c r="AY172" s="203">
        <v>6.9</v>
      </c>
      <c r="AZ172" s="239">
        <v>143.33000000000001</v>
      </c>
      <c r="BA172" s="203">
        <v>1991</v>
      </c>
      <c r="BB172" s="204">
        <v>39294</v>
      </c>
      <c r="BC172" s="203" t="s">
        <v>3084</v>
      </c>
    </row>
    <row r="173" spans="1:55" x14ac:dyDescent="0.2">
      <c r="A173" s="184" t="s">
        <v>658</v>
      </c>
      <c r="B173" s="184" t="s">
        <v>1119</v>
      </c>
      <c r="C173" s="184" t="s">
        <v>1052</v>
      </c>
      <c r="D173" s="185" t="s">
        <v>1043</v>
      </c>
      <c r="E173" s="184" t="s">
        <v>1120</v>
      </c>
      <c r="F173" s="184" t="s">
        <v>212</v>
      </c>
      <c r="G173" s="186">
        <f>IF(ALECA_Input!$F$13="ICAO (3000ft)",'Aircraft Calc'!C$211,'Aircraft Calc'!G$211)</f>
        <v>0.7</v>
      </c>
      <c r="H173" s="186">
        <f>IF(ALECA_Input!$F$13="ICAO (3000ft)",'Aircraft Calc'!D$211,'Aircraft Calc'!H$211)</f>
        <v>2.2000000000000002</v>
      </c>
      <c r="I173" s="186">
        <f>IF(ALECA_Input!$F$13="ICAO (3000ft)",'Aircraft Calc'!E$211,'Aircraft Calc'!I$211)</f>
        <v>4</v>
      </c>
      <c r="J173" s="189">
        <v>1</v>
      </c>
      <c r="K173" s="187">
        <f t="shared" si="37"/>
        <v>298.26600000000002</v>
      </c>
      <c r="L173" s="187">
        <f t="shared" si="38"/>
        <v>6.9054281999999994</v>
      </c>
      <c r="M173" s="187">
        <f t="shared" si="39"/>
        <v>0</v>
      </c>
      <c r="N173" s="187">
        <f t="shared" si="40"/>
        <v>0.29456520000000003</v>
      </c>
      <c r="O173" s="187">
        <f t="shared" si="41"/>
        <v>3.3549823676753826E-2</v>
      </c>
      <c r="P173" s="188">
        <f t="shared" si="42"/>
        <v>2.9595653886599456E+17</v>
      </c>
      <c r="Q173" s="187">
        <f t="shared" si="43"/>
        <v>6900</v>
      </c>
      <c r="R173" s="219">
        <f t="shared" si="44"/>
        <v>28.29</v>
      </c>
      <c r="S173" s="219">
        <f t="shared" si="45"/>
        <v>34.5</v>
      </c>
      <c r="T173" s="219">
        <f t="shared" si="46"/>
        <v>218.04000000000002</v>
      </c>
      <c r="U173" s="219">
        <f t="shared" si="47"/>
        <v>0.94628908234662978</v>
      </c>
      <c r="V173" s="188">
        <f t="shared" si="48"/>
        <v>1.9960986630899948E+16</v>
      </c>
      <c r="W173" s="323">
        <v>1.395</v>
      </c>
      <c r="X173" s="323">
        <v>1.143</v>
      </c>
      <c r="Y173" s="323">
        <v>0.37</v>
      </c>
      <c r="Z173" s="323">
        <v>0.115</v>
      </c>
      <c r="AA173" s="323">
        <v>34.1</v>
      </c>
      <c r="AB173" s="323">
        <v>26.7</v>
      </c>
      <c r="AC173" s="323">
        <v>9.9</v>
      </c>
      <c r="AD173" s="323">
        <v>4.0999999999999996</v>
      </c>
      <c r="AE173" s="323">
        <v>0</v>
      </c>
      <c r="AF173" s="323">
        <v>0</v>
      </c>
      <c r="AG173" s="323">
        <v>0</v>
      </c>
      <c r="AH173" s="323">
        <v>5</v>
      </c>
      <c r="AI173" s="323">
        <v>0.8</v>
      </c>
      <c r="AJ173" s="323">
        <v>0.7</v>
      </c>
      <c r="AK173" s="323">
        <v>1.6</v>
      </c>
      <c r="AL173" s="323">
        <v>31.6</v>
      </c>
      <c r="AM173" s="323">
        <v>6.9686754702501755E-2</v>
      </c>
      <c r="AN173" s="323">
        <v>7.2026440613575438E-2</v>
      </c>
      <c r="AO173" s="323">
        <v>4.5008019197302247E-2</v>
      </c>
      <c r="AP173" s="323">
        <v>5.7333345267627525E-2</v>
      </c>
      <c r="AQ173" s="323">
        <v>0.11864675470250176</v>
      </c>
      <c r="AR173" s="323">
        <v>0.12098644061357543</v>
      </c>
      <c r="AS173" s="323">
        <v>9.3968019197302244E-2</v>
      </c>
      <c r="AT173" s="323">
        <v>0.1371433452676275</v>
      </c>
      <c r="AU173" s="190">
        <v>439527328557472</v>
      </c>
      <c r="AV173" s="190">
        <v>454284162945124.25</v>
      </c>
      <c r="AW173" s="190">
        <v>2270991613933600.5</v>
      </c>
      <c r="AX173" s="190">
        <v>2892896613173905.5</v>
      </c>
      <c r="AY173" s="203">
        <v>7.6</v>
      </c>
      <c r="AZ173" s="239">
        <v>149.9</v>
      </c>
      <c r="BA173" s="203">
        <v>1991</v>
      </c>
      <c r="BB173" s="204">
        <v>39294</v>
      </c>
      <c r="BC173" s="203" t="s">
        <v>3084</v>
      </c>
    </row>
    <row r="174" spans="1:55" x14ac:dyDescent="0.2">
      <c r="A174" s="184" t="s">
        <v>1122</v>
      </c>
      <c r="B174" s="184" t="s">
        <v>1121</v>
      </c>
      <c r="C174" s="184" t="s">
        <v>1052</v>
      </c>
      <c r="D174" s="185" t="s">
        <v>1043</v>
      </c>
      <c r="E174" s="184" t="s">
        <v>1123</v>
      </c>
      <c r="F174" s="184" t="s">
        <v>1123</v>
      </c>
      <c r="G174" s="186">
        <f>IF(ALECA_Input!$F$13="ICAO (3000ft)",'Aircraft Calc'!C$211,'Aircraft Calc'!G$211)</f>
        <v>0.7</v>
      </c>
      <c r="H174" s="186">
        <f>IF(ALECA_Input!$F$13="ICAO (3000ft)",'Aircraft Calc'!D$211,'Aircraft Calc'!H$211)</f>
        <v>2.2000000000000002</v>
      </c>
      <c r="I174" s="186">
        <f>IF(ALECA_Input!$F$13="ICAO (3000ft)",'Aircraft Calc'!E$211,'Aircraft Calc'!I$211)</f>
        <v>4</v>
      </c>
      <c r="J174" s="189">
        <v>1</v>
      </c>
      <c r="K174" s="187">
        <f t="shared" si="37"/>
        <v>227.76599999999996</v>
      </c>
      <c r="L174" s="187">
        <f t="shared" si="38"/>
        <v>3.8747795999999997</v>
      </c>
      <c r="M174" s="187">
        <f t="shared" si="39"/>
        <v>6.4258979999999993E-2</v>
      </c>
      <c r="N174" s="187">
        <f t="shared" si="40"/>
        <v>0.31673339999999994</v>
      </c>
      <c r="O174" s="187">
        <f t="shared" si="41"/>
        <v>3.4532130834038506E-2</v>
      </c>
      <c r="P174" s="188">
        <f t="shared" si="42"/>
        <v>3.0105246149131776E+17</v>
      </c>
      <c r="Q174" s="187">
        <f t="shared" si="43"/>
        <v>6066</v>
      </c>
      <c r="R174" s="219">
        <f t="shared" si="44"/>
        <v>24.263999999999999</v>
      </c>
      <c r="S174" s="219">
        <f t="shared" si="45"/>
        <v>8.4923999999999999</v>
      </c>
      <c r="T174" s="219">
        <f t="shared" si="46"/>
        <v>106.7616</v>
      </c>
      <c r="U174" s="219">
        <f t="shared" si="47"/>
        <v>0.50796104449135127</v>
      </c>
      <c r="V174" s="188">
        <f t="shared" si="48"/>
        <v>8001123507378754</v>
      </c>
      <c r="W174" s="323">
        <v>1.0509999999999999</v>
      </c>
      <c r="X174" s="323">
        <v>0.86199999999999999</v>
      </c>
      <c r="Y174" s="323">
        <v>0.29099999999999998</v>
      </c>
      <c r="Z174" s="323">
        <v>0.1011</v>
      </c>
      <c r="AA174" s="323">
        <v>24.6</v>
      </c>
      <c r="AB174" s="323">
        <v>19.600000000000001</v>
      </c>
      <c r="AC174" s="323">
        <v>8</v>
      </c>
      <c r="AD174" s="323">
        <v>4</v>
      </c>
      <c r="AE174" s="323">
        <v>0.23</v>
      </c>
      <c r="AF174" s="323">
        <v>0.23</v>
      </c>
      <c r="AG174" s="323">
        <v>0.4</v>
      </c>
      <c r="AH174" s="323">
        <v>1.4000000000000001</v>
      </c>
      <c r="AI174" s="323">
        <v>0.9</v>
      </c>
      <c r="AJ174" s="323">
        <v>0.9</v>
      </c>
      <c r="AK174" s="323">
        <v>2.5</v>
      </c>
      <c r="AL174" s="323">
        <v>17.600000000000001</v>
      </c>
      <c r="AM174" s="323">
        <v>9.2626465464141314E-2</v>
      </c>
      <c r="AN174" s="323">
        <v>9.1488855948158268E-2</v>
      </c>
      <c r="AO174" s="323">
        <v>5.9480553125932763E-2</v>
      </c>
      <c r="AP174" s="323">
        <v>2.6141044591386636E-2</v>
      </c>
      <c r="AQ174" s="323">
        <v>0.1680364654641413</v>
      </c>
      <c r="AR174" s="323">
        <v>0.15792885594815825</v>
      </c>
      <c r="AS174" s="323">
        <v>0.13094055312593275</v>
      </c>
      <c r="AT174" s="323">
        <v>8.3739044591386633E-2</v>
      </c>
      <c r="AU174" s="190">
        <v>584212352734420.13</v>
      </c>
      <c r="AV174" s="190">
        <v>577037237841551.75</v>
      </c>
      <c r="AW174" s="190">
        <v>3001239329128750</v>
      </c>
      <c r="AX174" s="190">
        <v>1319011458519412.3</v>
      </c>
      <c r="AY174" s="203">
        <v>4.5</v>
      </c>
      <c r="AZ174" s="239">
        <v>111.2</v>
      </c>
      <c r="BA174" s="203">
        <v>1986</v>
      </c>
      <c r="BB174" s="204">
        <v>39294</v>
      </c>
      <c r="BC174" s="203" t="s">
        <v>716</v>
      </c>
    </row>
    <row r="175" spans="1:55" x14ac:dyDescent="0.2">
      <c r="A175" s="184" t="s">
        <v>1125</v>
      </c>
      <c r="B175" s="184" t="s">
        <v>1124</v>
      </c>
      <c r="C175" s="184" t="s">
        <v>1052</v>
      </c>
      <c r="D175" s="185" t="s">
        <v>1043</v>
      </c>
      <c r="E175" s="184" t="s">
        <v>1126</v>
      </c>
      <c r="F175" s="184" t="s">
        <v>1126</v>
      </c>
      <c r="G175" s="186">
        <f>IF(ALECA_Input!$F$13="ICAO (3000ft)",'Aircraft Calc'!C$211,'Aircraft Calc'!G$211)</f>
        <v>0.7</v>
      </c>
      <c r="H175" s="186">
        <f>IF(ALECA_Input!$F$13="ICAO (3000ft)",'Aircraft Calc'!D$211,'Aircraft Calc'!H$211)</f>
        <v>2.2000000000000002</v>
      </c>
      <c r="I175" s="186">
        <f>IF(ALECA_Input!$F$13="ICAO (3000ft)",'Aircraft Calc'!E$211,'Aircraft Calc'!I$211)</f>
        <v>4</v>
      </c>
      <c r="J175" s="189">
        <v>1</v>
      </c>
      <c r="K175" s="187">
        <f t="shared" si="37"/>
        <v>202.2</v>
      </c>
      <c r="L175" s="187">
        <f t="shared" si="38"/>
        <v>2.4130799999999999</v>
      </c>
      <c r="M175" s="187">
        <f t="shared" si="39"/>
        <v>7.1999999999999998E-3</v>
      </c>
      <c r="N175" s="187">
        <f t="shared" si="40"/>
        <v>0.38603999999999999</v>
      </c>
      <c r="O175" s="187">
        <f t="shared" si="41"/>
        <v>1.8497268961209592E-2</v>
      </c>
      <c r="P175" s="188">
        <f t="shared" si="42"/>
        <v>1.0754111119677386E+17</v>
      </c>
      <c r="Q175" s="187">
        <f t="shared" si="43"/>
        <v>6000</v>
      </c>
      <c r="R175" s="219">
        <f t="shared" si="44"/>
        <v>22.799999999999997</v>
      </c>
      <c r="S175" s="219">
        <f t="shared" si="45"/>
        <v>22.799999999999997</v>
      </c>
      <c r="T175" s="219">
        <f t="shared" si="46"/>
        <v>259.79999999999995</v>
      </c>
      <c r="U175" s="219">
        <f t="shared" si="47"/>
        <v>0.56876641669116201</v>
      </c>
      <c r="V175" s="188">
        <f t="shared" si="48"/>
        <v>6777975463983994</v>
      </c>
      <c r="W175" s="323">
        <v>0.9</v>
      </c>
      <c r="X175" s="323">
        <v>0.7</v>
      </c>
      <c r="Y175" s="323">
        <v>0.3</v>
      </c>
      <c r="Z175" s="323">
        <v>0.1</v>
      </c>
      <c r="AA175" s="323">
        <v>15.6</v>
      </c>
      <c r="AB175" s="323">
        <v>13.5</v>
      </c>
      <c r="AC175" s="323">
        <v>8</v>
      </c>
      <c r="AD175" s="323">
        <v>3.8</v>
      </c>
      <c r="AE175" s="323">
        <v>0</v>
      </c>
      <c r="AF175" s="323">
        <v>0</v>
      </c>
      <c r="AG175" s="323">
        <v>0.1</v>
      </c>
      <c r="AH175" s="323">
        <v>3.8</v>
      </c>
      <c r="AI175" s="323">
        <v>0.2</v>
      </c>
      <c r="AJ175" s="323">
        <v>0.2</v>
      </c>
      <c r="AK175" s="323">
        <v>5</v>
      </c>
      <c r="AL175" s="323">
        <v>43.3</v>
      </c>
      <c r="AM175" s="323">
        <v>5.4410872727932651E-2</v>
      </c>
      <c r="AN175" s="323">
        <v>5.2709909988821822E-2</v>
      </c>
      <c r="AO175" s="323">
        <v>1.7575420682313912E-2</v>
      </c>
      <c r="AP175" s="323">
        <v>2.2388402781860346E-2</v>
      </c>
      <c r="AQ175" s="323">
        <v>0.10337087272793266</v>
      </c>
      <c r="AR175" s="323">
        <v>0.10166990998882183</v>
      </c>
      <c r="AS175" s="323">
        <v>7.2160420682313917E-2</v>
      </c>
      <c r="AT175" s="323">
        <v>9.479440278186034E-2</v>
      </c>
      <c r="AU175" s="190">
        <v>343179498552976.69</v>
      </c>
      <c r="AV175" s="190">
        <v>332451210058429.5</v>
      </c>
      <c r="AW175" s="190">
        <v>886811588084339.5</v>
      </c>
      <c r="AX175" s="190">
        <v>1129662577330665.8</v>
      </c>
      <c r="AY175" s="203">
        <v>3</v>
      </c>
      <c r="AZ175" s="239">
        <v>91.6</v>
      </c>
      <c r="BA175" s="203">
        <v>2006</v>
      </c>
      <c r="BB175" s="204">
        <v>41212</v>
      </c>
      <c r="BC175" s="203" t="s">
        <v>716</v>
      </c>
    </row>
    <row r="176" spans="1:55" x14ac:dyDescent="0.2">
      <c r="A176" s="184" t="s">
        <v>1128</v>
      </c>
      <c r="B176" s="184" t="s">
        <v>1127</v>
      </c>
      <c r="C176" s="184" t="s">
        <v>1052</v>
      </c>
      <c r="D176" s="185" t="s">
        <v>1043</v>
      </c>
      <c r="E176" s="184" t="s">
        <v>1129</v>
      </c>
      <c r="F176" s="184" t="s">
        <v>1129</v>
      </c>
      <c r="G176" s="186">
        <f>IF(ALECA_Input!$F$13="ICAO (3000ft)",'Aircraft Calc'!C$211,'Aircraft Calc'!G$211)</f>
        <v>0.7</v>
      </c>
      <c r="H176" s="186">
        <f>IF(ALECA_Input!$F$13="ICAO (3000ft)",'Aircraft Calc'!D$211,'Aircraft Calc'!H$211)</f>
        <v>2.2000000000000002</v>
      </c>
      <c r="I176" s="186">
        <f>IF(ALECA_Input!$F$13="ICAO (3000ft)",'Aircraft Calc'!E$211,'Aircraft Calc'!I$211)</f>
        <v>4</v>
      </c>
      <c r="J176" s="189">
        <v>1</v>
      </c>
      <c r="K176" s="187">
        <f t="shared" si="37"/>
        <v>219.60000000000002</v>
      </c>
      <c r="L176" s="187">
        <f t="shared" si="38"/>
        <v>2.8879200000000003</v>
      </c>
      <c r="M176" s="187">
        <f t="shared" si="39"/>
        <v>7.1999999999999998E-3</v>
      </c>
      <c r="N176" s="187">
        <f t="shared" si="40"/>
        <v>0.33191999999999999</v>
      </c>
      <c r="O176" s="187">
        <f t="shared" si="41"/>
        <v>2.1058264720221383E-2</v>
      </c>
      <c r="P176" s="188">
        <f t="shared" si="42"/>
        <v>1.1832067093240717E+17</v>
      </c>
      <c r="Q176" s="187">
        <f t="shared" si="43"/>
        <v>6000</v>
      </c>
      <c r="R176" s="219">
        <f t="shared" si="44"/>
        <v>24</v>
      </c>
      <c r="S176" s="219">
        <f t="shared" si="45"/>
        <v>16.799999999999997</v>
      </c>
      <c r="T176" s="219">
        <f t="shared" si="46"/>
        <v>227.39999999999998</v>
      </c>
      <c r="U176" s="219">
        <f t="shared" si="47"/>
        <v>0.53174641669116196</v>
      </c>
      <c r="V176" s="188">
        <f t="shared" si="48"/>
        <v>6777975463983994</v>
      </c>
      <c r="W176" s="323">
        <v>1</v>
      </c>
      <c r="X176" s="323">
        <v>0.8</v>
      </c>
      <c r="Y176" s="323">
        <v>0.3</v>
      </c>
      <c r="Z176" s="323">
        <v>0.1</v>
      </c>
      <c r="AA176" s="323">
        <v>17.399999999999999</v>
      </c>
      <c r="AB176" s="323">
        <v>14.7</v>
      </c>
      <c r="AC176" s="323">
        <v>8.4</v>
      </c>
      <c r="AD176" s="323">
        <v>4</v>
      </c>
      <c r="AE176" s="323">
        <v>0</v>
      </c>
      <c r="AF176" s="323">
        <v>0</v>
      </c>
      <c r="AG176" s="323">
        <v>0.1</v>
      </c>
      <c r="AH176" s="323">
        <v>2.8</v>
      </c>
      <c r="AI176" s="323">
        <v>0.2</v>
      </c>
      <c r="AJ176" s="323">
        <v>0.2</v>
      </c>
      <c r="AK176" s="323">
        <v>4.2</v>
      </c>
      <c r="AL176" s="323">
        <v>37.9</v>
      </c>
      <c r="AM176" s="323">
        <v>5.9122483386634388E-2</v>
      </c>
      <c r="AN176" s="323">
        <v>5.8267747432349783E-2</v>
      </c>
      <c r="AO176" s="323">
        <v>1.7575420682313912E-2</v>
      </c>
      <c r="AP176" s="323">
        <v>2.2388402781860346E-2</v>
      </c>
      <c r="AQ176" s="323">
        <v>0.1080824833866344</v>
      </c>
      <c r="AR176" s="323">
        <v>0.10722774743234981</v>
      </c>
      <c r="AS176" s="323">
        <v>7.2160420682313917E-2</v>
      </c>
      <c r="AT176" s="323">
        <v>8.8624402781860331E-2</v>
      </c>
      <c r="AU176" s="190">
        <v>372896503669126</v>
      </c>
      <c r="AV176" s="190">
        <v>367505524964312.75</v>
      </c>
      <c r="AW176" s="190">
        <v>886811588084339.5</v>
      </c>
      <c r="AX176" s="190">
        <v>1129662577330665.8</v>
      </c>
      <c r="AY176" s="203">
        <v>3.5</v>
      </c>
      <c r="AZ176" s="239">
        <v>101</v>
      </c>
      <c r="BA176" s="203">
        <v>2006</v>
      </c>
      <c r="BB176" s="204">
        <v>41212</v>
      </c>
      <c r="BC176" s="203" t="s">
        <v>716</v>
      </c>
    </row>
    <row r="177" spans="1:55" x14ac:dyDescent="0.2">
      <c r="A177" s="184" t="s">
        <v>1131</v>
      </c>
      <c r="B177" s="184" t="s">
        <v>1130</v>
      </c>
      <c r="C177" s="184" t="s">
        <v>1052</v>
      </c>
      <c r="D177" s="185" t="s">
        <v>1043</v>
      </c>
      <c r="E177" s="184" t="s">
        <v>1132</v>
      </c>
      <c r="F177" s="184" t="s">
        <v>1132</v>
      </c>
      <c r="G177" s="186">
        <f>IF(ALECA_Input!$F$13="ICAO (3000ft)",'Aircraft Calc'!C$211,'Aircraft Calc'!G$211)</f>
        <v>0.7</v>
      </c>
      <c r="H177" s="186">
        <f>IF(ALECA_Input!$F$13="ICAO (3000ft)",'Aircraft Calc'!D$211,'Aircraft Calc'!H$211)</f>
        <v>2.2000000000000002</v>
      </c>
      <c r="I177" s="186">
        <f>IF(ALECA_Input!$F$13="ICAO (3000ft)",'Aircraft Calc'!E$211,'Aircraft Calc'!I$211)</f>
        <v>4</v>
      </c>
      <c r="J177" s="189">
        <v>1</v>
      </c>
      <c r="K177" s="187">
        <f t="shared" si="37"/>
        <v>219.60000000000002</v>
      </c>
      <c r="L177" s="187">
        <f t="shared" si="38"/>
        <v>2.8879200000000003</v>
      </c>
      <c r="M177" s="187">
        <f t="shared" si="39"/>
        <v>7.1999999999999998E-3</v>
      </c>
      <c r="N177" s="187">
        <f t="shared" si="40"/>
        <v>0.33191999999999999</v>
      </c>
      <c r="O177" s="187">
        <f t="shared" si="41"/>
        <v>2.1058264720221383E-2</v>
      </c>
      <c r="P177" s="188">
        <f t="shared" si="42"/>
        <v>1.1832067093240717E+17</v>
      </c>
      <c r="Q177" s="187">
        <f t="shared" si="43"/>
        <v>6000</v>
      </c>
      <c r="R177" s="219">
        <f t="shared" si="44"/>
        <v>24</v>
      </c>
      <c r="S177" s="219">
        <f t="shared" si="45"/>
        <v>16.799999999999997</v>
      </c>
      <c r="T177" s="219">
        <f t="shared" si="46"/>
        <v>227.39999999999998</v>
      </c>
      <c r="U177" s="219">
        <f t="shared" si="47"/>
        <v>0.53174641669116196</v>
      </c>
      <c r="V177" s="188">
        <f t="shared" si="48"/>
        <v>6777975463983994</v>
      </c>
      <c r="W177" s="323">
        <v>1</v>
      </c>
      <c r="X177" s="323">
        <v>0.8</v>
      </c>
      <c r="Y177" s="323">
        <v>0.3</v>
      </c>
      <c r="Z177" s="323">
        <v>0.1</v>
      </c>
      <c r="AA177" s="323">
        <v>17.399999999999999</v>
      </c>
      <c r="AB177" s="323">
        <v>14.7</v>
      </c>
      <c r="AC177" s="323">
        <v>8.4</v>
      </c>
      <c r="AD177" s="323">
        <v>4</v>
      </c>
      <c r="AE177" s="323">
        <v>0</v>
      </c>
      <c r="AF177" s="323">
        <v>0</v>
      </c>
      <c r="AG177" s="323">
        <v>0.1</v>
      </c>
      <c r="AH177" s="323">
        <v>2.8</v>
      </c>
      <c r="AI177" s="323">
        <v>0.2</v>
      </c>
      <c r="AJ177" s="323">
        <v>0.2</v>
      </c>
      <c r="AK177" s="323">
        <v>4.2</v>
      </c>
      <c r="AL177" s="323">
        <v>37.9</v>
      </c>
      <c r="AM177" s="323">
        <v>5.9122483386634388E-2</v>
      </c>
      <c r="AN177" s="323">
        <v>5.8267747432349783E-2</v>
      </c>
      <c r="AO177" s="323">
        <v>1.7575420682313912E-2</v>
      </c>
      <c r="AP177" s="323">
        <v>2.2388402781860346E-2</v>
      </c>
      <c r="AQ177" s="323">
        <v>0.1080824833866344</v>
      </c>
      <c r="AR177" s="323">
        <v>0.10722774743234981</v>
      </c>
      <c r="AS177" s="323">
        <v>7.2160420682313917E-2</v>
      </c>
      <c r="AT177" s="323">
        <v>8.8624402781860331E-2</v>
      </c>
      <c r="AU177" s="190">
        <v>372896503669126</v>
      </c>
      <c r="AV177" s="190">
        <v>367505524964312.75</v>
      </c>
      <c r="AW177" s="190">
        <v>886811588084339.5</v>
      </c>
      <c r="AX177" s="190">
        <v>1129662577330665.8</v>
      </c>
      <c r="AY177" s="203">
        <v>3.5</v>
      </c>
      <c r="AZ177" s="239">
        <v>101</v>
      </c>
      <c r="BA177" s="203">
        <v>2006</v>
      </c>
      <c r="BB177" s="204">
        <v>41212</v>
      </c>
      <c r="BC177" s="203" t="s">
        <v>716</v>
      </c>
    </row>
    <row r="178" spans="1:55" x14ac:dyDescent="0.2">
      <c r="A178" s="184" t="s">
        <v>1134</v>
      </c>
      <c r="B178" s="184" t="s">
        <v>1133</v>
      </c>
      <c r="C178" s="184" t="s">
        <v>1052</v>
      </c>
      <c r="D178" s="185" t="s">
        <v>1043</v>
      </c>
      <c r="E178" s="184" t="s">
        <v>1135</v>
      </c>
      <c r="F178" s="184" t="s">
        <v>1135</v>
      </c>
      <c r="G178" s="186">
        <f>IF(ALECA_Input!$F$13="ICAO (3000ft)",'Aircraft Calc'!C$211,'Aircraft Calc'!G$211)</f>
        <v>0.7</v>
      </c>
      <c r="H178" s="186">
        <f>IF(ALECA_Input!$F$13="ICAO (3000ft)",'Aircraft Calc'!D$211,'Aircraft Calc'!H$211)</f>
        <v>2.2000000000000002</v>
      </c>
      <c r="I178" s="186">
        <f>IF(ALECA_Input!$F$13="ICAO (3000ft)",'Aircraft Calc'!E$211,'Aircraft Calc'!I$211)</f>
        <v>4</v>
      </c>
      <c r="J178" s="189">
        <v>1</v>
      </c>
      <c r="K178" s="187">
        <f t="shared" si="37"/>
        <v>237</v>
      </c>
      <c r="L178" s="187">
        <f t="shared" si="38"/>
        <v>3.3456599999999996</v>
      </c>
      <c r="M178" s="187">
        <f t="shared" si="39"/>
        <v>7.1999999999999998E-3</v>
      </c>
      <c r="N178" s="187">
        <f t="shared" si="40"/>
        <v>0.29940000000000005</v>
      </c>
      <c r="O178" s="187">
        <f t="shared" si="41"/>
        <v>2.3824973601134482E-2</v>
      </c>
      <c r="P178" s="188">
        <f t="shared" si="42"/>
        <v>1.3039770160501402E+17</v>
      </c>
      <c r="Q178" s="187">
        <f t="shared" si="43"/>
        <v>6000</v>
      </c>
      <c r="R178" s="219">
        <f t="shared" si="44"/>
        <v>24.599999999999998</v>
      </c>
      <c r="S178" s="219">
        <f t="shared" si="45"/>
        <v>13.799999999999999</v>
      </c>
      <c r="T178" s="219">
        <f t="shared" si="46"/>
        <v>208.20000000000002</v>
      </c>
      <c r="U178" s="219">
        <f t="shared" si="47"/>
        <v>0.51323641669116216</v>
      </c>
      <c r="V178" s="188">
        <f t="shared" si="48"/>
        <v>6777975463983994</v>
      </c>
      <c r="W178" s="323">
        <v>1.1000000000000001</v>
      </c>
      <c r="X178" s="323">
        <v>0.9</v>
      </c>
      <c r="Y178" s="323">
        <v>0.3</v>
      </c>
      <c r="Z178" s="323">
        <v>0.1</v>
      </c>
      <c r="AA178" s="323">
        <v>18.899999999999999</v>
      </c>
      <c r="AB178" s="323">
        <v>15.6</v>
      </c>
      <c r="AC178" s="323">
        <v>8.6</v>
      </c>
      <c r="AD178" s="323">
        <v>4.0999999999999996</v>
      </c>
      <c r="AE178" s="323">
        <v>0</v>
      </c>
      <c r="AF178" s="323">
        <v>0</v>
      </c>
      <c r="AG178" s="323">
        <v>0.1</v>
      </c>
      <c r="AH178" s="323">
        <v>2.2999999999999998</v>
      </c>
      <c r="AI178" s="323">
        <v>0.2</v>
      </c>
      <c r="AJ178" s="323">
        <v>0.2</v>
      </c>
      <c r="AK178" s="323">
        <v>3.7</v>
      </c>
      <c r="AL178" s="323">
        <v>34.700000000000003</v>
      </c>
      <c r="AM178" s="323">
        <v>7.0209243332343685E-2</v>
      </c>
      <c r="AN178" s="323">
        <v>6.15097329129091E-2</v>
      </c>
      <c r="AO178" s="323">
        <v>1.7575420682313912E-2</v>
      </c>
      <c r="AP178" s="323">
        <v>2.2388402781860346E-2</v>
      </c>
      <c r="AQ178" s="323">
        <v>0.11916924333234369</v>
      </c>
      <c r="AR178" s="323">
        <v>0.1104697329129091</v>
      </c>
      <c r="AS178" s="323">
        <v>7.2160420682313917E-2</v>
      </c>
      <c r="AT178" s="323">
        <v>8.5539402781860355E-2</v>
      </c>
      <c r="AU178" s="190">
        <v>442822761565601.88</v>
      </c>
      <c r="AV178" s="190">
        <v>387953330628036.63</v>
      </c>
      <c r="AW178" s="190">
        <v>886811588084339.5</v>
      </c>
      <c r="AX178" s="190">
        <v>1129662577330665.8</v>
      </c>
      <c r="AY178" s="203">
        <v>4</v>
      </c>
      <c r="AZ178" s="239">
        <v>107.6</v>
      </c>
      <c r="BA178" s="203">
        <v>2006</v>
      </c>
      <c r="BB178" s="204">
        <v>41212</v>
      </c>
      <c r="BC178" s="203" t="s">
        <v>716</v>
      </c>
    </row>
    <row r="179" spans="1:55" x14ac:dyDescent="0.2">
      <c r="A179" s="184" t="s">
        <v>1137</v>
      </c>
      <c r="B179" s="184" t="s">
        <v>1136</v>
      </c>
      <c r="C179" s="184" t="s">
        <v>1052</v>
      </c>
      <c r="D179" s="185" t="s">
        <v>1043</v>
      </c>
      <c r="E179" s="184" t="s">
        <v>1138</v>
      </c>
      <c r="F179" s="184" t="s">
        <v>1138</v>
      </c>
      <c r="G179" s="186">
        <f>IF(ALECA_Input!$F$13="ICAO (3000ft)",'Aircraft Calc'!C$211,'Aircraft Calc'!G$211)</f>
        <v>0.7</v>
      </c>
      <c r="H179" s="186">
        <f>IF(ALECA_Input!$F$13="ICAO (3000ft)",'Aircraft Calc'!D$211,'Aircraft Calc'!H$211)</f>
        <v>2.2000000000000002</v>
      </c>
      <c r="I179" s="186">
        <f>IF(ALECA_Input!$F$13="ICAO (3000ft)",'Aircraft Calc'!E$211,'Aircraft Calc'!I$211)</f>
        <v>4</v>
      </c>
      <c r="J179" s="189">
        <v>1</v>
      </c>
      <c r="K179" s="187">
        <f t="shared" si="37"/>
        <v>272.71800000000002</v>
      </c>
      <c r="L179" s="187">
        <f t="shared" si="38"/>
        <v>4.4830603200000008</v>
      </c>
      <c r="M179" s="187">
        <f t="shared" si="39"/>
        <v>8.4670200000000022E-3</v>
      </c>
      <c r="N179" s="187">
        <f t="shared" si="40"/>
        <v>0.27211290000000005</v>
      </c>
      <c r="O179" s="187">
        <f t="shared" si="41"/>
        <v>2.9704841102496098E-2</v>
      </c>
      <c r="P179" s="188">
        <f t="shared" si="42"/>
        <v>1.6306906465892147E+17</v>
      </c>
      <c r="Q179" s="187">
        <f t="shared" si="43"/>
        <v>6600</v>
      </c>
      <c r="R179" s="219">
        <f t="shared" si="44"/>
        <v>28.776</v>
      </c>
      <c r="S179" s="219">
        <f t="shared" si="45"/>
        <v>10.164</v>
      </c>
      <c r="T179" s="219">
        <f t="shared" si="46"/>
        <v>193.97399999999999</v>
      </c>
      <c r="U179" s="219">
        <f t="shared" si="47"/>
        <v>0.52783892765599927</v>
      </c>
      <c r="V179" s="188">
        <f t="shared" si="48"/>
        <v>7164511663284850</v>
      </c>
      <c r="W179" s="323">
        <v>1.2929999999999999</v>
      </c>
      <c r="X179" s="323">
        <v>1.0309999999999999</v>
      </c>
      <c r="Y179" s="323">
        <v>0.34300000000000003</v>
      </c>
      <c r="Z179" s="323">
        <v>0.11</v>
      </c>
      <c r="AA179" s="323">
        <v>23.94</v>
      </c>
      <c r="AB179" s="323">
        <v>17.89</v>
      </c>
      <c r="AC179" s="323">
        <v>9.09</v>
      </c>
      <c r="AD179" s="323">
        <v>4.3600000000000003</v>
      </c>
      <c r="AE179" s="323">
        <v>0.03</v>
      </c>
      <c r="AF179" s="323">
        <v>0.02</v>
      </c>
      <c r="AG179" s="323">
        <v>0.05</v>
      </c>
      <c r="AH179" s="323">
        <v>1.54</v>
      </c>
      <c r="AI179" s="323">
        <v>0.31</v>
      </c>
      <c r="AJ179" s="323">
        <v>0.17</v>
      </c>
      <c r="AK179" s="323">
        <v>2.82</v>
      </c>
      <c r="AL179" s="323">
        <v>29.39</v>
      </c>
      <c r="AM179" s="323">
        <v>7.7259706051682489E-2</v>
      </c>
      <c r="AN179" s="323">
        <v>7.4099528665060019E-2</v>
      </c>
      <c r="AO179" s="323">
        <v>1.7575420682313912E-2</v>
      </c>
      <c r="AP179" s="323">
        <v>2.1513795099393822E-2</v>
      </c>
      <c r="AQ179" s="323">
        <v>0.12966970605168249</v>
      </c>
      <c r="AR179" s="323">
        <v>0.12457952866506002</v>
      </c>
      <c r="AS179" s="323">
        <v>6.9347920682313907E-2</v>
      </c>
      <c r="AT179" s="323">
        <v>7.9975595099393837E-2</v>
      </c>
      <c r="AU179" s="190">
        <v>487291341819544.81</v>
      </c>
      <c r="AV179" s="190">
        <v>467359515026353</v>
      </c>
      <c r="AW179" s="190">
        <v>886811588084339.5</v>
      </c>
      <c r="AX179" s="190">
        <v>1085532070194674.3</v>
      </c>
      <c r="AY179" s="203">
        <v>5.2</v>
      </c>
      <c r="AZ179" s="239">
        <v>121.4</v>
      </c>
      <c r="BA179" s="203">
        <v>2006</v>
      </c>
      <c r="BB179" s="204">
        <v>39294</v>
      </c>
      <c r="BC179" s="203" t="s">
        <v>1105</v>
      </c>
    </row>
    <row r="180" spans="1:55" x14ac:dyDescent="0.2">
      <c r="A180" s="184" t="s">
        <v>1140</v>
      </c>
      <c r="B180" s="184" t="s">
        <v>1139</v>
      </c>
      <c r="C180" s="184" t="s">
        <v>1052</v>
      </c>
      <c r="D180" s="185" t="s">
        <v>1043</v>
      </c>
      <c r="E180" s="184" t="s">
        <v>1141</v>
      </c>
      <c r="F180" s="184" t="s">
        <v>1141</v>
      </c>
      <c r="G180" s="186">
        <f>IF(ALECA_Input!$F$13="ICAO (3000ft)",'Aircraft Calc'!C$211,'Aircraft Calc'!G$211)</f>
        <v>0.7</v>
      </c>
      <c r="H180" s="186">
        <f>IF(ALECA_Input!$F$13="ICAO (3000ft)",'Aircraft Calc'!D$211,'Aircraft Calc'!H$211)</f>
        <v>2.2000000000000002</v>
      </c>
      <c r="I180" s="186">
        <f>IF(ALECA_Input!$F$13="ICAO (3000ft)",'Aircraft Calc'!E$211,'Aircraft Calc'!I$211)</f>
        <v>4</v>
      </c>
      <c r="J180" s="189">
        <v>1</v>
      </c>
      <c r="K180" s="187">
        <f t="shared" si="37"/>
        <v>254.4</v>
      </c>
      <c r="L180" s="187">
        <f t="shared" si="38"/>
        <v>3.9967200000000003</v>
      </c>
      <c r="M180" s="187">
        <f t="shared" si="39"/>
        <v>7.1999999999999998E-3</v>
      </c>
      <c r="N180" s="187">
        <f t="shared" si="40"/>
        <v>0.25968000000000002</v>
      </c>
      <c r="O180" s="187">
        <f t="shared" si="41"/>
        <v>2.6761386190512444E-2</v>
      </c>
      <c r="P180" s="188">
        <f t="shared" si="42"/>
        <v>1.4354508514376142E+17</v>
      </c>
      <c r="Q180" s="187">
        <f t="shared" si="43"/>
        <v>6000</v>
      </c>
      <c r="R180" s="219">
        <f t="shared" si="44"/>
        <v>25.799999999999997</v>
      </c>
      <c r="S180" s="219">
        <f t="shared" si="45"/>
        <v>10.8</v>
      </c>
      <c r="T180" s="219">
        <f t="shared" si="46"/>
        <v>185.39999999999998</v>
      </c>
      <c r="U180" s="219">
        <f t="shared" si="47"/>
        <v>0.49472641669116213</v>
      </c>
      <c r="V180" s="188">
        <f t="shared" si="48"/>
        <v>6777975463983994</v>
      </c>
      <c r="W180" s="323">
        <v>1.2</v>
      </c>
      <c r="X180" s="323">
        <v>1</v>
      </c>
      <c r="Y180" s="323">
        <v>0.3</v>
      </c>
      <c r="Z180" s="323">
        <v>0.1</v>
      </c>
      <c r="AA180" s="323">
        <v>21.8</v>
      </c>
      <c r="AB180" s="323">
        <v>17.100000000000001</v>
      </c>
      <c r="AC180" s="323">
        <v>8.9</v>
      </c>
      <c r="AD180" s="323">
        <v>4.3</v>
      </c>
      <c r="AE180" s="323">
        <v>0</v>
      </c>
      <c r="AF180" s="323">
        <v>0</v>
      </c>
      <c r="AG180" s="323">
        <v>0.1</v>
      </c>
      <c r="AH180" s="323">
        <v>1.8</v>
      </c>
      <c r="AI180" s="323">
        <v>0.2</v>
      </c>
      <c r="AJ180" s="323">
        <v>0.2</v>
      </c>
      <c r="AK180" s="323">
        <v>3.1</v>
      </c>
      <c r="AL180" s="323">
        <v>30.9</v>
      </c>
      <c r="AM180" s="323">
        <v>7.5658183477462199E-2</v>
      </c>
      <c r="AN180" s="323">
        <v>6.6836056470619312E-2</v>
      </c>
      <c r="AO180" s="323">
        <v>1.7575420682313912E-2</v>
      </c>
      <c r="AP180" s="323">
        <v>2.2388402781860346E-2</v>
      </c>
      <c r="AQ180" s="323">
        <v>0.1246181834774622</v>
      </c>
      <c r="AR180" s="323">
        <v>0.1157960564706193</v>
      </c>
      <c r="AS180" s="323">
        <v>7.2160420682313917E-2</v>
      </c>
      <c r="AT180" s="323">
        <v>8.245440278186035E-2</v>
      </c>
      <c r="AU180" s="190">
        <v>477190240947842.69</v>
      </c>
      <c r="AV180" s="190">
        <v>421547444378164.44</v>
      </c>
      <c r="AW180" s="190">
        <v>886811588084339.5</v>
      </c>
      <c r="AX180" s="190">
        <v>1129662577330665.8</v>
      </c>
      <c r="AY180" s="203">
        <v>4.7</v>
      </c>
      <c r="AZ180" s="239">
        <v>117</v>
      </c>
      <c r="BA180" s="203">
        <v>2006</v>
      </c>
      <c r="BB180" s="204">
        <v>41212</v>
      </c>
      <c r="BC180" s="203" t="s">
        <v>716</v>
      </c>
    </row>
    <row r="181" spans="1:55" x14ac:dyDescent="0.2">
      <c r="A181" s="184" t="s">
        <v>1143</v>
      </c>
      <c r="B181" s="184" t="s">
        <v>1142</v>
      </c>
      <c r="C181" s="184" t="s">
        <v>1052</v>
      </c>
      <c r="D181" s="185" t="s">
        <v>1043</v>
      </c>
      <c r="E181" s="184" t="s">
        <v>1144</v>
      </c>
      <c r="F181" s="184" t="s">
        <v>1144</v>
      </c>
      <c r="G181" s="186">
        <f>IF(ALECA_Input!$F$13="ICAO (3000ft)",'Aircraft Calc'!C$211,'Aircraft Calc'!G$211)</f>
        <v>0.7</v>
      </c>
      <c r="H181" s="186">
        <f>IF(ALECA_Input!$F$13="ICAO (3000ft)",'Aircraft Calc'!D$211,'Aircraft Calc'!H$211)</f>
        <v>2.2000000000000002</v>
      </c>
      <c r="I181" s="186">
        <f>IF(ALECA_Input!$F$13="ICAO (3000ft)",'Aircraft Calc'!E$211,'Aircraft Calc'!I$211)</f>
        <v>4</v>
      </c>
      <c r="J181" s="189">
        <v>1</v>
      </c>
      <c r="K181" s="187">
        <f t="shared" si="37"/>
        <v>254.4</v>
      </c>
      <c r="L181" s="187">
        <f t="shared" si="38"/>
        <v>3.9967200000000003</v>
      </c>
      <c r="M181" s="187">
        <f t="shared" si="39"/>
        <v>7.1999999999999998E-3</v>
      </c>
      <c r="N181" s="187">
        <f t="shared" si="40"/>
        <v>0.25968000000000002</v>
      </c>
      <c r="O181" s="187">
        <f t="shared" si="41"/>
        <v>2.6761386190512444E-2</v>
      </c>
      <c r="P181" s="188">
        <f t="shared" si="42"/>
        <v>1.4354508514376142E+17</v>
      </c>
      <c r="Q181" s="187">
        <f t="shared" si="43"/>
        <v>6000</v>
      </c>
      <c r="R181" s="219">
        <f t="shared" si="44"/>
        <v>25.799999999999997</v>
      </c>
      <c r="S181" s="219">
        <f t="shared" si="45"/>
        <v>10.8</v>
      </c>
      <c r="T181" s="219">
        <f t="shared" si="46"/>
        <v>185.39999999999998</v>
      </c>
      <c r="U181" s="219">
        <f t="shared" si="47"/>
        <v>0.49472641669116213</v>
      </c>
      <c r="V181" s="188">
        <f t="shared" si="48"/>
        <v>6777975463983994</v>
      </c>
      <c r="W181" s="323">
        <v>1.2</v>
      </c>
      <c r="X181" s="323">
        <v>1</v>
      </c>
      <c r="Y181" s="323">
        <v>0.3</v>
      </c>
      <c r="Z181" s="323">
        <v>0.1</v>
      </c>
      <c r="AA181" s="323">
        <v>21.8</v>
      </c>
      <c r="AB181" s="323">
        <v>17.100000000000001</v>
      </c>
      <c r="AC181" s="323">
        <v>8.9</v>
      </c>
      <c r="AD181" s="323">
        <v>4.3</v>
      </c>
      <c r="AE181" s="323">
        <v>0</v>
      </c>
      <c r="AF181" s="323">
        <v>0</v>
      </c>
      <c r="AG181" s="323">
        <v>0.1</v>
      </c>
      <c r="AH181" s="323">
        <v>1.8</v>
      </c>
      <c r="AI181" s="323">
        <v>0.2</v>
      </c>
      <c r="AJ181" s="323">
        <v>0.2</v>
      </c>
      <c r="AK181" s="323">
        <v>3.1</v>
      </c>
      <c r="AL181" s="323">
        <v>30.9</v>
      </c>
      <c r="AM181" s="323">
        <v>7.5658183477462199E-2</v>
      </c>
      <c r="AN181" s="323">
        <v>6.6836056470619312E-2</v>
      </c>
      <c r="AO181" s="323">
        <v>1.7575420682313912E-2</v>
      </c>
      <c r="AP181" s="323">
        <v>2.2388402781860346E-2</v>
      </c>
      <c r="AQ181" s="323">
        <v>0.1246181834774622</v>
      </c>
      <c r="AR181" s="323">
        <v>0.1157960564706193</v>
      </c>
      <c r="AS181" s="323">
        <v>7.2160420682313917E-2</v>
      </c>
      <c r="AT181" s="323">
        <v>8.245440278186035E-2</v>
      </c>
      <c r="AU181" s="190">
        <v>477190240947842.69</v>
      </c>
      <c r="AV181" s="190">
        <v>421547444378164.44</v>
      </c>
      <c r="AW181" s="190">
        <v>886811588084339.5</v>
      </c>
      <c r="AX181" s="190">
        <v>1129662577330665.8</v>
      </c>
      <c r="AY181" s="203">
        <v>4.7</v>
      </c>
      <c r="AZ181" s="239">
        <v>117</v>
      </c>
      <c r="BA181" s="203">
        <v>2006</v>
      </c>
      <c r="BB181" s="204">
        <v>41212</v>
      </c>
      <c r="BC181" s="203" t="s">
        <v>716</v>
      </c>
    </row>
    <row r="182" spans="1:55" x14ac:dyDescent="0.2">
      <c r="A182" s="184" t="s">
        <v>1146</v>
      </c>
      <c r="B182" s="184" t="s">
        <v>1145</v>
      </c>
      <c r="C182" s="184" t="s">
        <v>1052</v>
      </c>
      <c r="D182" s="185" t="s">
        <v>1043</v>
      </c>
      <c r="E182" s="184" t="s">
        <v>1147</v>
      </c>
      <c r="F182" s="184" t="s">
        <v>1147</v>
      </c>
      <c r="G182" s="186">
        <f>IF(ALECA_Input!$F$13="ICAO (3000ft)",'Aircraft Calc'!C$211,'Aircraft Calc'!G$211)</f>
        <v>0.7</v>
      </c>
      <c r="H182" s="186">
        <f>IF(ALECA_Input!$F$13="ICAO (3000ft)",'Aircraft Calc'!D$211,'Aircraft Calc'!H$211)</f>
        <v>2.2000000000000002</v>
      </c>
      <c r="I182" s="186">
        <f>IF(ALECA_Input!$F$13="ICAO (3000ft)",'Aircraft Calc'!E$211,'Aircraft Calc'!I$211)</f>
        <v>4</v>
      </c>
      <c r="J182" s="189">
        <v>1</v>
      </c>
      <c r="K182" s="187">
        <f t="shared" si="37"/>
        <v>254.4</v>
      </c>
      <c r="L182" s="187">
        <f t="shared" si="38"/>
        <v>3.9967200000000003</v>
      </c>
      <c r="M182" s="187">
        <f t="shared" si="39"/>
        <v>7.1999999999999998E-3</v>
      </c>
      <c r="N182" s="187">
        <f t="shared" si="40"/>
        <v>0.25968000000000002</v>
      </c>
      <c r="O182" s="187">
        <f t="shared" si="41"/>
        <v>2.6761386190512444E-2</v>
      </c>
      <c r="P182" s="188">
        <f t="shared" si="42"/>
        <v>1.4354508514376142E+17</v>
      </c>
      <c r="Q182" s="187">
        <f t="shared" si="43"/>
        <v>6000</v>
      </c>
      <c r="R182" s="219">
        <f t="shared" si="44"/>
        <v>25.799999999999997</v>
      </c>
      <c r="S182" s="219">
        <f t="shared" si="45"/>
        <v>10.8</v>
      </c>
      <c r="T182" s="219">
        <f t="shared" si="46"/>
        <v>185.39999999999998</v>
      </c>
      <c r="U182" s="219">
        <f t="shared" si="47"/>
        <v>0.49472641669116213</v>
      </c>
      <c r="V182" s="188">
        <f t="shared" si="48"/>
        <v>6777975463983994</v>
      </c>
      <c r="W182" s="323">
        <v>1.2</v>
      </c>
      <c r="X182" s="323">
        <v>1</v>
      </c>
      <c r="Y182" s="323">
        <v>0.3</v>
      </c>
      <c r="Z182" s="323">
        <v>0.1</v>
      </c>
      <c r="AA182" s="323">
        <v>21.8</v>
      </c>
      <c r="AB182" s="323">
        <v>17.100000000000001</v>
      </c>
      <c r="AC182" s="323">
        <v>8.9</v>
      </c>
      <c r="AD182" s="323">
        <v>4.3</v>
      </c>
      <c r="AE182" s="323">
        <v>0</v>
      </c>
      <c r="AF182" s="323">
        <v>0</v>
      </c>
      <c r="AG182" s="323">
        <v>0.1</v>
      </c>
      <c r="AH182" s="323">
        <v>1.8</v>
      </c>
      <c r="AI182" s="323">
        <v>0.2</v>
      </c>
      <c r="AJ182" s="323">
        <v>0.2</v>
      </c>
      <c r="AK182" s="323">
        <v>3.1</v>
      </c>
      <c r="AL182" s="323">
        <v>30.9</v>
      </c>
      <c r="AM182" s="323">
        <v>7.5658183477462199E-2</v>
      </c>
      <c r="AN182" s="323">
        <v>6.6836056470619312E-2</v>
      </c>
      <c r="AO182" s="323">
        <v>1.7575420682313912E-2</v>
      </c>
      <c r="AP182" s="323">
        <v>2.2388402781860346E-2</v>
      </c>
      <c r="AQ182" s="323">
        <v>0.1246181834774622</v>
      </c>
      <c r="AR182" s="323">
        <v>0.1157960564706193</v>
      </c>
      <c r="AS182" s="323">
        <v>7.2160420682313917E-2</v>
      </c>
      <c r="AT182" s="323">
        <v>8.245440278186035E-2</v>
      </c>
      <c r="AU182" s="190">
        <v>477190240947842.69</v>
      </c>
      <c r="AV182" s="190">
        <v>421547444378164.44</v>
      </c>
      <c r="AW182" s="190">
        <v>886811588084339.5</v>
      </c>
      <c r="AX182" s="190">
        <v>1129662577330665.8</v>
      </c>
      <c r="AY182" s="203">
        <v>4.7</v>
      </c>
      <c r="AZ182" s="239">
        <v>117</v>
      </c>
      <c r="BA182" s="203">
        <v>2006</v>
      </c>
      <c r="BB182" s="204">
        <v>41212</v>
      </c>
      <c r="BC182" s="203" t="s">
        <v>716</v>
      </c>
    </row>
    <row r="183" spans="1:55" x14ac:dyDescent="0.2">
      <c r="A183" s="184" t="s">
        <v>1149</v>
      </c>
      <c r="B183" s="184" t="s">
        <v>1148</v>
      </c>
      <c r="C183" s="184" t="s">
        <v>1052</v>
      </c>
      <c r="D183" s="185" t="s">
        <v>1043</v>
      </c>
      <c r="E183" s="184" t="s">
        <v>1150</v>
      </c>
      <c r="F183" s="184" t="s">
        <v>1150</v>
      </c>
      <c r="G183" s="186">
        <f>IF(ALECA_Input!$F$13="ICAO (3000ft)",'Aircraft Calc'!C$211,'Aircraft Calc'!G$211)</f>
        <v>0.7</v>
      </c>
      <c r="H183" s="186">
        <f>IF(ALECA_Input!$F$13="ICAO (3000ft)",'Aircraft Calc'!D$211,'Aircraft Calc'!H$211)</f>
        <v>2.2000000000000002</v>
      </c>
      <c r="I183" s="186">
        <f>IF(ALECA_Input!$F$13="ICAO (3000ft)",'Aircraft Calc'!E$211,'Aircraft Calc'!I$211)</f>
        <v>4</v>
      </c>
      <c r="J183" s="189">
        <v>1</v>
      </c>
      <c r="K183" s="187">
        <f t="shared" si="37"/>
        <v>254.4</v>
      </c>
      <c r="L183" s="187">
        <f t="shared" si="38"/>
        <v>3.9967200000000003</v>
      </c>
      <c r="M183" s="187">
        <f t="shared" si="39"/>
        <v>7.1999999999999998E-3</v>
      </c>
      <c r="N183" s="187">
        <f t="shared" si="40"/>
        <v>0.25968000000000002</v>
      </c>
      <c r="O183" s="187">
        <f t="shared" si="41"/>
        <v>2.6761386190512444E-2</v>
      </c>
      <c r="P183" s="188">
        <f t="shared" si="42"/>
        <v>1.4354508514376142E+17</v>
      </c>
      <c r="Q183" s="187">
        <f t="shared" si="43"/>
        <v>6000</v>
      </c>
      <c r="R183" s="219">
        <f t="shared" si="44"/>
        <v>25.799999999999997</v>
      </c>
      <c r="S183" s="219">
        <f t="shared" si="45"/>
        <v>10.8</v>
      </c>
      <c r="T183" s="219">
        <f t="shared" si="46"/>
        <v>185.39999999999998</v>
      </c>
      <c r="U183" s="219">
        <f t="shared" si="47"/>
        <v>0.49472641669116213</v>
      </c>
      <c r="V183" s="188">
        <f t="shared" si="48"/>
        <v>6777975463983994</v>
      </c>
      <c r="W183" s="323">
        <v>1.2</v>
      </c>
      <c r="X183" s="323">
        <v>1</v>
      </c>
      <c r="Y183" s="323">
        <v>0.3</v>
      </c>
      <c r="Z183" s="323">
        <v>0.1</v>
      </c>
      <c r="AA183" s="323">
        <v>21.8</v>
      </c>
      <c r="AB183" s="323">
        <v>17.100000000000001</v>
      </c>
      <c r="AC183" s="323">
        <v>8.9</v>
      </c>
      <c r="AD183" s="323">
        <v>4.3</v>
      </c>
      <c r="AE183" s="323">
        <v>0</v>
      </c>
      <c r="AF183" s="323">
        <v>0</v>
      </c>
      <c r="AG183" s="323">
        <v>0.1</v>
      </c>
      <c r="AH183" s="323">
        <v>1.8</v>
      </c>
      <c r="AI183" s="323">
        <v>0.2</v>
      </c>
      <c r="AJ183" s="323">
        <v>0.2</v>
      </c>
      <c r="AK183" s="323">
        <v>3.1</v>
      </c>
      <c r="AL183" s="323">
        <v>30.9</v>
      </c>
      <c r="AM183" s="323">
        <v>7.5658183477462199E-2</v>
      </c>
      <c r="AN183" s="323">
        <v>6.6836056470619312E-2</v>
      </c>
      <c r="AO183" s="323">
        <v>1.7575420682313912E-2</v>
      </c>
      <c r="AP183" s="323">
        <v>2.2388402781860346E-2</v>
      </c>
      <c r="AQ183" s="323">
        <v>0.1246181834774622</v>
      </c>
      <c r="AR183" s="323">
        <v>0.1157960564706193</v>
      </c>
      <c r="AS183" s="323">
        <v>7.2160420682313917E-2</v>
      </c>
      <c r="AT183" s="323">
        <v>8.245440278186035E-2</v>
      </c>
      <c r="AU183" s="190">
        <v>477190240947842.69</v>
      </c>
      <c r="AV183" s="190">
        <v>421547444378164.44</v>
      </c>
      <c r="AW183" s="190">
        <v>886811588084339.5</v>
      </c>
      <c r="AX183" s="190">
        <v>1129662577330665.8</v>
      </c>
      <c r="AY183" s="203">
        <v>4.7</v>
      </c>
      <c r="AZ183" s="239">
        <v>117</v>
      </c>
      <c r="BA183" s="203">
        <v>2006</v>
      </c>
      <c r="BB183" s="204">
        <v>41212</v>
      </c>
      <c r="BC183" s="203" t="s">
        <v>716</v>
      </c>
    </row>
    <row r="184" spans="1:55" x14ac:dyDescent="0.2">
      <c r="A184" s="184" t="s">
        <v>1152</v>
      </c>
      <c r="B184" s="184" t="s">
        <v>1151</v>
      </c>
      <c r="C184" s="184" t="s">
        <v>1052</v>
      </c>
      <c r="D184" s="185" t="s">
        <v>1043</v>
      </c>
      <c r="E184" s="184" t="s">
        <v>1153</v>
      </c>
      <c r="F184" s="184" t="s">
        <v>1153</v>
      </c>
      <c r="G184" s="186">
        <f>IF(ALECA_Input!$F$13="ICAO (3000ft)",'Aircraft Calc'!C$211,'Aircraft Calc'!G$211)</f>
        <v>0.7</v>
      </c>
      <c r="H184" s="186">
        <f>IF(ALECA_Input!$F$13="ICAO (3000ft)",'Aircraft Calc'!D$211,'Aircraft Calc'!H$211)</f>
        <v>2.2000000000000002</v>
      </c>
      <c r="I184" s="186">
        <f>IF(ALECA_Input!$F$13="ICAO (3000ft)",'Aircraft Calc'!E$211,'Aircraft Calc'!I$211)</f>
        <v>4</v>
      </c>
      <c r="J184" s="189">
        <v>1</v>
      </c>
      <c r="K184" s="187">
        <f t="shared" si="37"/>
        <v>243.28199999999998</v>
      </c>
      <c r="L184" s="187">
        <f t="shared" si="38"/>
        <v>4.4419068000000008</v>
      </c>
      <c r="M184" s="187">
        <f t="shared" si="39"/>
        <v>5.6024400000000002E-2</v>
      </c>
      <c r="N184" s="187">
        <f t="shared" si="40"/>
        <v>0.32947379999999998</v>
      </c>
      <c r="O184" s="187">
        <f t="shared" si="41"/>
        <v>3.7348980524498879E-2</v>
      </c>
      <c r="P184" s="188">
        <f t="shared" si="42"/>
        <v>3.467332253939081E+17</v>
      </c>
      <c r="Q184" s="187">
        <f t="shared" si="43"/>
        <v>6264</v>
      </c>
      <c r="R184" s="219">
        <f t="shared" si="44"/>
        <v>25.682399999999998</v>
      </c>
      <c r="S184" s="219">
        <f t="shared" si="45"/>
        <v>8.1432000000000002</v>
      </c>
      <c r="T184" s="219">
        <f t="shared" si="46"/>
        <v>101.4768</v>
      </c>
      <c r="U184" s="219">
        <f t="shared" si="47"/>
        <v>0.57481541112878554</v>
      </c>
      <c r="V184" s="188">
        <f t="shared" si="48"/>
        <v>1.099400190508907E+16</v>
      </c>
      <c r="W184" s="323">
        <v>1.131</v>
      </c>
      <c r="X184" s="323">
        <v>0.92500000000000004</v>
      </c>
      <c r="Y184" s="323">
        <v>0.307</v>
      </c>
      <c r="Z184" s="323">
        <v>0.10440000000000001</v>
      </c>
      <c r="AA184" s="323">
        <v>26.400000000000002</v>
      </c>
      <c r="AB184" s="323">
        <v>21.1</v>
      </c>
      <c r="AC184" s="323">
        <v>8.3000000000000007</v>
      </c>
      <c r="AD184" s="323">
        <v>4.0999999999999996</v>
      </c>
      <c r="AE184" s="323">
        <v>0.2</v>
      </c>
      <c r="AF184" s="323">
        <v>0.2</v>
      </c>
      <c r="AG184" s="323">
        <v>0.3</v>
      </c>
      <c r="AH184" s="323">
        <v>1.3</v>
      </c>
      <c r="AI184" s="323">
        <v>0.9</v>
      </c>
      <c r="AJ184" s="323">
        <v>0.9</v>
      </c>
      <c r="AK184" s="323">
        <v>2.4</v>
      </c>
      <c r="AL184" s="323">
        <v>16.2</v>
      </c>
      <c r="AM184" s="323">
        <v>9.9854874209072741E-2</v>
      </c>
      <c r="AN184" s="323">
        <v>9.5695758893732497E-2</v>
      </c>
      <c r="AO184" s="323">
        <v>6.5395214561546761E-2</v>
      </c>
      <c r="AP184" s="323">
        <v>3.4783912376881464E-2</v>
      </c>
      <c r="AQ184" s="323">
        <v>0.17181487420907274</v>
      </c>
      <c r="AR184" s="323">
        <v>0.15985575889373252</v>
      </c>
      <c r="AS184" s="323">
        <v>0.13123021456154674</v>
      </c>
      <c r="AT184" s="323">
        <v>9.1764912376881475E-2</v>
      </c>
      <c r="AU184" s="190">
        <v>629803271682280.5</v>
      </c>
      <c r="AV184" s="190">
        <v>603570957499793</v>
      </c>
      <c r="AW184" s="190">
        <v>3299678290875837.5</v>
      </c>
      <c r="AX184" s="190">
        <v>1755108860965688</v>
      </c>
      <c r="AY184" s="203">
        <v>5.0999999999999996</v>
      </c>
      <c r="AZ184" s="239">
        <v>117.88</v>
      </c>
      <c r="BA184" s="203">
        <v>1986</v>
      </c>
      <c r="BB184" s="204">
        <v>39294</v>
      </c>
      <c r="BC184" s="203" t="s">
        <v>716</v>
      </c>
    </row>
    <row r="185" spans="1:55" x14ac:dyDescent="0.2">
      <c r="A185" s="184" t="s">
        <v>1155</v>
      </c>
      <c r="B185" s="184" t="s">
        <v>1154</v>
      </c>
      <c r="C185" s="184" t="s">
        <v>1052</v>
      </c>
      <c r="D185" s="185" t="s">
        <v>1043</v>
      </c>
      <c r="E185" s="184" t="s">
        <v>1156</v>
      </c>
      <c r="F185" s="184" t="s">
        <v>1156</v>
      </c>
      <c r="G185" s="186">
        <f>IF(ALECA_Input!$F$13="ICAO (3000ft)",'Aircraft Calc'!C$211,'Aircraft Calc'!G$211)</f>
        <v>0.7</v>
      </c>
      <c r="H185" s="186">
        <f>IF(ALECA_Input!$F$13="ICAO (3000ft)",'Aircraft Calc'!D$211,'Aircraft Calc'!H$211)</f>
        <v>2.2000000000000002</v>
      </c>
      <c r="I185" s="186">
        <f>IF(ALECA_Input!$F$13="ICAO (3000ft)",'Aircraft Calc'!E$211,'Aircraft Calc'!I$211)</f>
        <v>4</v>
      </c>
      <c r="J185" s="189">
        <v>1</v>
      </c>
      <c r="K185" s="187">
        <f t="shared" si="37"/>
        <v>282.36</v>
      </c>
      <c r="L185" s="187">
        <f t="shared" si="38"/>
        <v>6.3092592000000014</v>
      </c>
      <c r="M185" s="187">
        <f t="shared" si="39"/>
        <v>8.5778880000000023E-3</v>
      </c>
      <c r="N185" s="187">
        <f t="shared" si="40"/>
        <v>0.31415208</v>
      </c>
      <c r="O185" s="187">
        <f t="shared" si="41"/>
        <v>2.7115200339658276E-2</v>
      </c>
      <c r="P185" s="188">
        <f t="shared" si="42"/>
        <v>1.059552329222733E+17</v>
      </c>
      <c r="Q185" s="187">
        <f t="shared" si="43"/>
        <v>7050.0000000000009</v>
      </c>
      <c r="R185" s="219">
        <f t="shared" si="44"/>
        <v>29.539500000000007</v>
      </c>
      <c r="S185" s="219">
        <f t="shared" si="45"/>
        <v>40.044000000000004</v>
      </c>
      <c r="T185" s="219">
        <f t="shared" si="46"/>
        <v>239.70000000000002</v>
      </c>
      <c r="U185" s="219">
        <f t="shared" si="47"/>
        <v>0.65882439042055319</v>
      </c>
      <c r="V185" s="188">
        <f t="shared" si="48"/>
        <v>3359707356076220.5</v>
      </c>
      <c r="W185" s="323">
        <v>1.3080000000000001</v>
      </c>
      <c r="X185" s="323">
        <v>1.0760000000000001</v>
      </c>
      <c r="Y185" s="323">
        <v>0.35580000000000001</v>
      </c>
      <c r="Z185" s="323">
        <v>0.11750000000000001</v>
      </c>
      <c r="AA185" s="323">
        <v>32.6</v>
      </c>
      <c r="AB185" s="323">
        <v>25.8</v>
      </c>
      <c r="AC185" s="323">
        <v>10</v>
      </c>
      <c r="AD185" s="323">
        <v>4.1900000000000004</v>
      </c>
      <c r="AE185" s="323">
        <v>8.0000000000000002E-3</v>
      </c>
      <c r="AF185" s="323">
        <v>8.0000000000000002E-3</v>
      </c>
      <c r="AG185" s="323">
        <v>8.2000000000000003E-2</v>
      </c>
      <c r="AH185" s="323">
        <v>5.68</v>
      </c>
      <c r="AI185" s="323">
        <v>0.93</v>
      </c>
      <c r="AJ185" s="323">
        <v>0.8</v>
      </c>
      <c r="AK185" s="323">
        <v>1.75</v>
      </c>
      <c r="AL185" s="323">
        <v>34</v>
      </c>
      <c r="AM185" s="323">
        <v>6.5157304629294643E-2</v>
      </c>
      <c r="AN185" s="323">
        <v>6.0575081290185163E-2</v>
      </c>
      <c r="AO185" s="323">
        <v>6.7571427151930279E-3</v>
      </c>
      <c r="AP185" s="323">
        <v>9.4446681447593051E-3</v>
      </c>
      <c r="AQ185" s="323">
        <v>0.11503730462929465</v>
      </c>
      <c r="AR185" s="323">
        <v>0.11014308129018516</v>
      </c>
      <c r="AS185" s="323">
        <v>6.0329642715193026E-2</v>
      </c>
      <c r="AT185" s="323">
        <v>9.3450268144759305E-2</v>
      </c>
      <c r="AU185" s="190">
        <v>410959244148747.19</v>
      </c>
      <c r="AV185" s="190">
        <v>382058308932428.63</v>
      </c>
      <c r="AW185" s="190">
        <v>340948451276782.25</v>
      </c>
      <c r="AX185" s="190">
        <v>476554234904428.38</v>
      </c>
      <c r="AY185" s="203">
        <v>7.1</v>
      </c>
      <c r="AZ185" s="239">
        <v>138.78</v>
      </c>
      <c r="BA185" s="203">
        <v>1991</v>
      </c>
      <c r="BB185" s="204">
        <v>39294</v>
      </c>
      <c r="BC185" s="203" t="s">
        <v>716</v>
      </c>
    </row>
    <row r="186" spans="1:55" x14ac:dyDescent="0.2">
      <c r="A186" s="184" t="s">
        <v>1158</v>
      </c>
      <c r="B186" s="184" t="s">
        <v>1157</v>
      </c>
      <c r="C186" s="184" t="s">
        <v>1052</v>
      </c>
      <c r="D186" s="185" t="s">
        <v>1043</v>
      </c>
      <c r="E186" s="184" t="s">
        <v>1159</v>
      </c>
      <c r="F186" s="184" t="s">
        <v>1159</v>
      </c>
      <c r="G186" s="186">
        <f>IF(ALECA_Input!$F$13="ICAO (3000ft)",'Aircraft Calc'!C$211,'Aircraft Calc'!G$211)</f>
        <v>0.7</v>
      </c>
      <c r="H186" s="186">
        <f>IF(ALECA_Input!$F$13="ICAO (3000ft)",'Aircraft Calc'!D$211,'Aircraft Calc'!H$211)</f>
        <v>2.2000000000000002</v>
      </c>
      <c r="I186" s="186">
        <f>IF(ALECA_Input!$F$13="ICAO (3000ft)",'Aircraft Calc'!E$211,'Aircraft Calc'!I$211)</f>
        <v>4</v>
      </c>
      <c r="J186" s="189">
        <v>1</v>
      </c>
      <c r="K186" s="187">
        <f t="shared" si="37"/>
        <v>295.75800000000004</v>
      </c>
      <c r="L186" s="187">
        <f t="shared" si="38"/>
        <v>6.9703434000000017</v>
      </c>
      <c r="M186" s="187">
        <f t="shared" si="39"/>
        <v>8.2268639999999987E-3</v>
      </c>
      <c r="N186" s="187">
        <f t="shared" si="40"/>
        <v>0.31834812000000001</v>
      </c>
      <c r="O186" s="187">
        <f t="shared" si="41"/>
        <v>2.901889997144522E-2</v>
      </c>
      <c r="P186" s="188">
        <f t="shared" si="42"/>
        <v>1.149508373037335E+17</v>
      </c>
      <c r="Q186" s="187">
        <f t="shared" si="43"/>
        <v>7218</v>
      </c>
      <c r="R186" s="219">
        <f t="shared" si="44"/>
        <v>30.748679999999997</v>
      </c>
      <c r="S186" s="219">
        <f t="shared" si="45"/>
        <v>38.616300000000003</v>
      </c>
      <c r="T186" s="219">
        <f t="shared" si="46"/>
        <v>235.30680000000001</v>
      </c>
      <c r="U186" s="219">
        <f t="shared" si="47"/>
        <v>0.65982746566887263</v>
      </c>
      <c r="V186" s="188">
        <f t="shared" si="48"/>
        <v>3439768467540164</v>
      </c>
      <c r="W186" s="323">
        <v>1.373</v>
      </c>
      <c r="X186" s="323">
        <v>1.131</v>
      </c>
      <c r="Y186" s="323">
        <v>0.37</v>
      </c>
      <c r="Z186" s="323">
        <v>0.1203</v>
      </c>
      <c r="AA186" s="323">
        <v>34.700000000000003</v>
      </c>
      <c r="AB186" s="323">
        <v>27.1</v>
      </c>
      <c r="AC186" s="323">
        <v>10.4</v>
      </c>
      <c r="AD186" s="323">
        <v>4.26</v>
      </c>
      <c r="AE186" s="323">
        <v>8.0000000000000002E-3</v>
      </c>
      <c r="AF186" s="323">
        <v>8.0000000000000002E-3</v>
      </c>
      <c r="AG186" s="323">
        <v>7.3999999999999996E-2</v>
      </c>
      <c r="AH186" s="323">
        <v>5.3500000000000005</v>
      </c>
      <c r="AI186" s="323">
        <v>0.98</v>
      </c>
      <c r="AJ186" s="323">
        <v>0.82000000000000006</v>
      </c>
      <c r="AK186" s="323">
        <v>1.57</v>
      </c>
      <c r="AL186" s="323">
        <v>32.6</v>
      </c>
      <c r="AM186" s="323">
        <v>6.865355326019891E-2</v>
      </c>
      <c r="AN186" s="323">
        <v>6.3406786432182852E-2</v>
      </c>
      <c r="AO186" s="323">
        <v>6.7571427151930279E-3</v>
      </c>
      <c r="AP186" s="323">
        <v>9.4446681447593051E-3</v>
      </c>
      <c r="AQ186" s="323">
        <v>0.11853355326019892</v>
      </c>
      <c r="AR186" s="323">
        <v>0.11297478643218284</v>
      </c>
      <c r="AS186" s="323">
        <v>5.9879642715193027E-2</v>
      </c>
      <c r="AT186" s="323">
        <v>9.1414168144759306E-2</v>
      </c>
      <c r="AU186" s="190">
        <v>433010734812566.38</v>
      </c>
      <c r="AV186" s="190">
        <v>399918400159779.44</v>
      </c>
      <c r="AW186" s="190">
        <v>340948451276782.25</v>
      </c>
      <c r="AX186" s="190">
        <v>476554234904428.38</v>
      </c>
      <c r="AY186" s="203">
        <v>7.8</v>
      </c>
      <c r="AZ186" s="239">
        <v>144.57</v>
      </c>
      <c r="BA186" s="203">
        <v>1991</v>
      </c>
      <c r="BB186" s="204">
        <v>39294</v>
      </c>
      <c r="BC186" s="203" t="s">
        <v>716</v>
      </c>
    </row>
    <row r="187" spans="1:55" x14ac:dyDescent="0.2">
      <c r="A187" s="184" t="s">
        <v>1161</v>
      </c>
      <c r="B187" s="184" t="s">
        <v>1160</v>
      </c>
      <c r="C187" s="184" t="s">
        <v>1052</v>
      </c>
      <c r="D187" s="185" t="s">
        <v>1043</v>
      </c>
      <c r="E187" s="184" t="s">
        <v>1162</v>
      </c>
      <c r="F187" s="184" t="s">
        <v>1162</v>
      </c>
      <c r="G187" s="186">
        <f>IF(ALECA_Input!$F$13="ICAO (3000ft)",'Aircraft Calc'!C$211,'Aircraft Calc'!G$211)</f>
        <v>0.7</v>
      </c>
      <c r="H187" s="186">
        <f>IF(ALECA_Input!$F$13="ICAO (3000ft)",'Aircraft Calc'!D$211,'Aircraft Calc'!H$211)</f>
        <v>2.2000000000000002</v>
      </c>
      <c r="I187" s="186">
        <f>IF(ALECA_Input!$F$13="ICAO (3000ft)",'Aircraft Calc'!E$211,'Aircraft Calc'!I$211)</f>
        <v>4</v>
      </c>
      <c r="J187" s="189">
        <v>1</v>
      </c>
      <c r="K187" s="187">
        <f t="shared" si="37"/>
        <v>311.53200000000004</v>
      </c>
      <c r="L187" s="187">
        <f t="shared" si="38"/>
        <v>7.8744116400000008</v>
      </c>
      <c r="M187" s="187">
        <f t="shared" si="39"/>
        <v>7.7727359999999997E-3</v>
      </c>
      <c r="N187" s="187">
        <f t="shared" si="40"/>
        <v>0.32492700000000002</v>
      </c>
      <c r="O187" s="187">
        <f t="shared" si="41"/>
        <v>3.138015377156237E-2</v>
      </c>
      <c r="P187" s="188">
        <f t="shared" si="42"/>
        <v>1.2704414540191872E+17</v>
      </c>
      <c r="Q187" s="187">
        <f t="shared" si="43"/>
        <v>7439.9999999999991</v>
      </c>
      <c r="R187" s="219">
        <f t="shared" si="44"/>
        <v>31.8432</v>
      </c>
      <c r="S187" s="219">
        <f t="shared" si="45"/>
        <v>37.199999999999996</v>
      </c>
      <c r="T187" s="219">
        <f t="shared" si="46"/>
        <v>230.11919999999998</v>
      </c>
      <c r="U187" s="219">
        <f t="shared" si="47"/>
        <v>0.66405473099700918</v>
      </c>
      <c r="V187" s="188">
        <f t="shared" si="48"/>
        <v>3545563507688947</v>
      </c>
      <c r="W187" s="323">
        <v>1.456</v>
      </c>
      <c r="X187" s="323">
        <v>1.1950000000000001</v>
      </c>
      <c r="Y187" s="323">
        <v>0.38600000000000001</v>
      </c>
      <c r="Z187" s="323">
        <v>0.124</v>
      </c>
      <c r="AA187" s="323">
        <v>37.67</v>
      </c>
      <c r="AB187" s="323">
        <v>29.05</v>
      </c>
      <c r="AC187" s="323">
        <v>10.67</v>
      </c>
      <c r="AD187" s="323">
        <v>4.28</v>
      </c>
      <c r="AE187" s="323">
        <v>8.0000000000000002E-3</v>
      </c>
      <c r="AF187" s="323">
        <v>8.0000000000000002E-3</v>
      </c>
      <c r="AG187" s="323">
        <v>6.5000000000000002E-2</v>
      </c>
      <c r="AH187" s="323">
        <v>5</v>
      </c>
      <c r="AI187" s="323">
        <v>1</v>
      </c>
      <c r="AJ187" s="323">
        <v>0.85</v>
      </c>
      <c r="AK187" s="323">
        <v>1.4000000000000001</v>
      </c>
      <c r="AL187" s="323">
        <v>30.93</v>
      </c>
      <c r="AM187" s="323">
        <v>7.2773071073607934E-2</v>
      </c>
      <c r="AN187" s="323">
        <v>6.6836056470619312E-2</v>
      </c>
      <c r="AO187" s="323">
        <v>6.9487036009671906E-3</v>
      </c>
      <c r="AP187" s="323">
        <v>9.4446681447593051E-3</v>
      </c>
      <c r="AQ187" s="323">
        <v>0.12265307107360796</v>
      </c>
      <c r="AR187" s="323">
        <v>0.1164040564706193</v>
      </c>
      <c r="AS187" s="323">
        <v>5.9564953600967196E-2</v>
      </c>
      <c r="AT187" s="323">
        <v>8.9254668144759311E-2</v>
      </c>
      <c r="AU187" s="190">
        <v>458993300182447</v>
      </c>
      <c r="AV187" s="190">
        <v>421547444378164.44</v>
      </c>
      <c r="AW187" s="190">
        <v>350614132480030.81</v>
      </c>
      <c r="AX187" s="190">
        <v>476554234904428.38</v>
      </c>
      <c r="AY187" s="203">
        <v>8.6999999999999993</v>
      </c>
      <c r="AZ187" s="239">
        <v>151.25</v>
      </c>
      <c r="BA187" s="203">
        <v>1991</v>
      </c>
      <c r="BB187" s="204">
        <v>39294</v>
      </c>
      <c r="BC187" s="203" t="s">
        <v>716</v>
      </c>
    </row>
    <row r="188" spans="1:55" x14ac:dyDescent="0.2">
      <c r="A188" s="184" t="s">
        <v>1164</v>
      </c>
      <c r="B188" s="184" t="s">
        <v>1163</v>
      </c>
      <c r="C188" s="184" t="s">
        <v>1052</v>
      </c>
      <c r="D188" s="185" t="s">
        <v>1043</v>
      </c>
      <c r="E188" s="184" t="s">
        <v>1165</v>
      </c>
      <c r="F188" s="184" t="s">
        <v>1165</v>
      </c>
      <c r="G188" s="186">
        <f>IF(ALECA_Input!$F$13="ICAO (3000ft)",'Aircraft Calc'!C$211,'Aircraft Calc'!G$211)</f>
        <v>0.7</v>
      </c>
      <c r="H188" s="186">
        <f>IF(ALECA_Input!$F$13="ICAO (3000ft)",'Aircraft Calc'!D$211,'Aircraft Calc'!H$211)</f>
        <v>2.2000000000000002</v>
      </c>
      <c r="I188" s="186">
        <f>IF(ALECA_Input!$F$13="ICAO (3000ft)",'Aircraft Calc'!E$211,'Aircraft Calc'!I$211)</f>
        <v>4</v>
      </c>
      <c r="J188" s="189">
        <v>1</v>
      </c>
      <c r="K188" s="187">
        <f t="shared" si="37"/>
        <v>189.46799999999999</v>
      </c>
      <c r="L188" s="187">
        <f t="shared" si="38"/>
        <v>2.2063760400000003</v>
      </c>
      <c r="M188" s="187">
        <f t="shared" si="39"/>
        <v>8.7560399999999979E-3</v>
      </c>
      <c r="N188" s="187">
        <f t="shared" si="40"/>
        <v>0.37233539999999998</v>
      </c>
      <c r="O188" s="187">
        <f t="shared" si="41"/>
        <v>1.7523742516205948E-2</v>
      </c>
      <c r="P188" s="188">
        <f t="shared" si="42"/>
        <v>9.398450788155832E+16</v>
      </c>
      <c r="Q188" s="187">
        <f t="shared" si="43"/>
        <v>5520</v>
      </c>
      <c r="R188" s="219">
        <f t="shared" si="44"/>
        <v>20.148</v>
      </c>
      <c r="S188" s="219">
        <f t="shared" si="45"/>
        <v>24.895199999999996</v>
      </c>
      <c r="T188" s="219">
        <f t="shared" si="46"/>
        <v>257.45279999999997</v>
      </c>
      <c r="U188" s="219">
        <f t="shared" si="47"/>
        <v>0.54261873294865381</v>
      </c>
      <c r="V188" s="188">
        <f t="shared" si="48"/>
        <v>5992137027474601</v>
      </c>
      <c r="W188" s="323">
        <v>0.84199999999999997</v>
      </c>
      <c r="X188" s="323">
        <v>0.70199999999999996</v>
      </c>
      <c r="Y188" s="323">
        <v>0.25600000000000001</v>
      </c>
      <c r="Z188" s="323">
        <v>9.1999999999999998E-2</v>
      </c>
      <c r="AA188" s="323">
        <v>14.81</v>
      </c>
      <c r="AB188" s="323">
        <v>13</v>
      </c>
      <c r="AC188" s="323">
        <v>7.78</v>
      </c>
      <c r="AD188" s="323">
        <v>3.65</v>
      </c>
      <c r="AE188" s="323">
        <v>0.03</v>
      </c>
      <c r="AF188" s="323">
        <v>0.03</v>
      </c>
      <c r="AG188" s="323">
        <v>0.08</v>
      </c>
      <c r="AH188" s="323">
        <v>4.51</v>
      </c>
      <c r="AI188" s="323">
        <v>0.17</v>
      </c>
      <c r="AJ188" s="323">
        <v>0.28000000000000003</v>
      </c>
      <c r="AK188" s="323">
        <v>5.54</v>
      </c>
      <c r="AL188" s="323">
        <v>46.64</v>
      </c>
      <c r="AM188" s="323">
        <v>5.1705355265227772E-2</v>
      </c>
      <c r="AN188" s="323">
        <v>5.149218060020503E-2</v>
      </c>
      <c r="AO188" s="323">
        <v>1.688883316193094E-2</v>
      </c>
      <c r="AP188" s="323">
        <v>2.1513795099393822E-2</v>
      </c>
      <c r="AQ188" s="323">
        <v>0.10411535526522778</v>
      </c>
      <c r="AR188" s="323">
        <v>0.10273218060020503</v>
      </c>
      <c r="AS188" s="323">
        <v>7.034883316193094E-2</v>
      </c>
      <c r="AT188" s="323">
        <v>9.8300495099393814E-2</v>
      </c>
      <c r="AU188" s="190">
        <v>326115296498729.38</v>
      </c>
      <c r="AV188" s="190">
        <v>324770764220915.88</v>
      </c>
      <c r="AW188" s="190">
        <v>852168106126469.88</v>
      </c>
      <c r="AX188" s="190">
        <v>1085532070194674.3</v>
      </c>
      <c r="AY188" s="203">
        <v>2.7</v>
      </c>
      <c r="AZ188" s="239">
        <v>86.7</v>
      </c>
      <c r="BA188" s="203">
        <v>2006</v>
      </c>
      <c r="BB188" s="204">
        <v>39294</v>
      </c>
      <c r="BC188" s="203" t="s">
        <v>1105</v>
      </c>
    </row>
    <row r="189" spans="1:55" x14ac:dyDescent="0.2">
      <c r="A189" s="184" t="s">
        <v>1167</v>
      </c>
      <c r="B189" s="184" t="s">
        <v>1166</v>
      </c>
      <c r="C189" s="184" t="s">
        <v>1052</v>
      </c>
      <c r="D189" s="185" t="s">
        <v>1043</v>
      </c>
      <c r="E189" s="184" t="s">
        <v>1168</v>
      </c>
      <c r="F189" s="184" t="s">
        <v>1168</v>
      </c>
      <c r="G189" s="186">
        <f>IF(ALECA_Input!$F$13="ICAO (3000ft)",'Aircraft Calc'!C$211,'Aircraft Calc'!G$211)</f>
        <v>0.7</v>
      </c>
      <c r="H189" s="186">
        <f>IF(ALECA_Input!$F$13="ICAO (3000ft)",'Aircraft Calc'!D$211,'Aircraft Calc'!H$211)</f>
        <v>2.2000000000000002</v>
      </c>
      <c r="I189" s="186">
        <f>IF(ALECA_Input!$F$13="ICAO (3000ft)",'Aircraft Calc'!E$211,'Aircraft Calc'!I$211)</f>
        <v>4</v>
      </c>
      <c r="J189" s="189">
        <v>1</v>
      </c>
      <c r="K189" s="187">
        <f t="shared" si="37"/>
        <v>200.42400000000004</v>
      </c>
      <c r="L189" s="187">
        <f t="shared" si="38"/>
        <v>2.4330352799999999</v>
      </c>
      <c r="M189" s="187">
        <f t="shared" si="39"/>
        <v>9.228720000000001E-3</v>
      </c>
      <c r="N189" s="187">
        <f t="shared" si="40"/>
        <v>0.35182296000000007</v>
      </c>
      <c r="O189" s="187">
        <f t="shared" si="41"/>
        <v>1.8755697289283908E-2</v>
      </c>
      <c r="P189" s="188">
        <f t="shared" si="42"/>
        <v>1.0030431494435651E+17</v>
      </c>
      <c r="Q189" s="187">
        <f t="shared" si="43"/>
        <v>5640</v>
      </c>
      <c r="R189" s="219">
        <f t="shared" si="44"/>
        <v>21.262799999999999</v>
      </c>
      <c r="S189" s="219">
        <f t="shared" si="45"/>
        <v>21.657599999999999</v>
      </c>
      <c r="T189" s="219">
        <f t="shared" si="46"/>
        <v>244.26839999999999</v>
      </c>
      <c r="U189" s="219">
        <f t="shared" si="47"/>
        <v>0.53109959636058113</v>
      </c>
      <c r="V189" s="188">
        <f t="shared" si="48"/>
        <v>6122400875897962</v>
      </c>
      <c r="W189" s="323">
        <v>0.89600000000000002</v>
      </c>
      <c r="X189" s="323">
        <v>0.746</v>
      </c>
      <c r="Y189" s="323">
        <v>0.26800000000000002</v>
      </c>
      <c r="Z189" s="323">
        <v>9.4E-2</v>
      </c>
      <c r="AA189" s="323">
        <v>15.61</v>
      </c>
      <c r="AB189" s="323">
        <v>13.53</v>
      </c>
      <c r="AC189" s="323">
        <v>7.98</v>
      </c>
      <c r="AD189" s="323">
        <v>3.77</v>
      </c>
      <c r="AE189" s="323">
        <v>0.03</v>
      </c>
      <c r="AF189" s="323">
        <v>0.03</v>
      </c>
      <c r="AG189" s="323">
        <v>0.08</v>
      </c>
      <c r="AH189" s="323">
        <v>3.84</v>
      </c>
      <c r="AI189" s="323">
        <v>0.15</v>
      </c>
      <c r="AJ189" s="323">
        <v>0.23</v>
      </c>
      <c r="AK189" s="323">
        <v>5.03</v>
      </c>
      <c r="AL189" s="323">
        <v>43.31</v>
      </c>
      <c r="AM189" s="323">
        <v>5.4244924058528883E-2</v>
      </c>
      <c r="AN189" s="323">
        <v>5.2517639106933453E-2</v>
      </c>
      <c r="AO189" s="323">
        <v>1.688883316193094E-2</v>
      </c>
      <c r="AP189" s="323">
        <v>2.1513795099393822E-2</v>
      </c>
      <c r="AQ189" s="323">
        <v>0.10665492405852889</v>
      </c>
      <c r="AR189" s="323">
        <v>0.10375763910693346</v>
      </c>
      <c r="AS189" s="323">
        <v>7.034883316193094E-2</v>
      </c>
      <c r="AT189" s="323">
        <v>9.4166595099393818E-2</v>
      </c>
      <c r="AU189" s="190">
        <v>342132829416896.5</v>
      </c>
      <c r="AV189" s="190">
        <v>331238521830421.81</v>
      </c>
      <c r="AW189" s="190">
        <v>852168106126469.88</v>
      </c>
      <c r="AX189" s="190">
        <v>1085532070194674.3</v>
      </c>
      <c r="AY189" s="203">
        <v>3</v>
      </c>
      <c r="AZ189" s="239">
        <v>91.6</v>
      </c>
      <c r="BA189" s="203">
        <v>2006</v>
      </c>
      <c r="BB189" s="204">
        <v>39294</v>
      </c>
      <c r="BC189" s="203" t="s">
        <v>3085</v>
      </c>
    </row>
    <row r="190" spans="1:55" x14ac:dyDescent="0.2">
      <c r="A190" s="184" t="s">
        <v>1170</v>
      </c>
      <c r="B190" s="184" t="s">
        <v>1169</v>
      </c>
      <c r="C190" s="184" t="s">
        <v>1052</v>
      </c>
      <c r="D190" s="185" t="s">
        <v>1043</v>
      </c>
      <c r="E190" s="184" t="s">
        <v>1171</v>
      </c>
      <c r="F190" s="184" t="s">
        <v>1171</v>
      </c>
      <c r="G190" s="186">
        <f>IF(ALECA_Input!$F$13="ICAO (3000ft)",'Aircraft Calc'!C$211,'Aircraft Calc'!G$211)</f>
        <v>0.7</v>
      </c>
      <c r="H190" s="186">
        <f>IF(ALECA_Input!$F$13="ICAO (3000ft)",'Aircraft Calc'!D$211,'Aircraft Calc'!H$211)</f>
        <v>2.2000000000000002</v>
      </c>
      <c r="I190" s="186">
        <f>IF(ALECA_Input!$F$13="ICAO (3000ft)",'Aircraft Calc'!E$211,'Aircraft Calc'!I$211)</f>
        <v>4</v>
      </c>
      <c r="J190" s="189">
        <v>1</v>
      </c>
      <c r="K190" s="187">
        <f t="shared" si="37"/>
        <v>221.83199999999999</v>
      </c>
      <c r="L190" s="187">
        <f t="shared" si="38"/>
        <v>2.9280052799999994</v>
      </c>
      <c r="M190" s="187">
        <f t="shared" si="39"/>
        <v>9.0268799999999993E-3</v>
      </c>
      <c r="N190" s="187">
        <f t="shared" si="40"/>
        <v>0.31734815999999993</v>
      </c>
      <c r="O190" s="187">
        <f t="shared" si="41"/>
        <v>2.1582702534361769E-2</v>
      </c>
      <c r="P190" s="188">
        <f t="shared" si="42"/>
        <v>1.1577496263921696E+17</v>
      </c>
      <c r="Q190" s="187">
        <f t="shared" si="43"/>
        <v>5940</v>
      </c>
      <c r="R190" s="219">
        <f t="shared" si="44"/>
        <v>23.463000000000001</v>
      </c>
      <c r="S190" s="219">
        <f t="shared" si="45"/>
        <v>16.810200000000002</v>
      </c>
      <c r="T190" s="219">
        <f t="shared" si="46"/>
        <v>225.126</v>
      </c>
      <c r="U190" s="219">
        <f t="shared" si="47"/>
        <v>0.52233327689039943</v>
      </c>
      <c r="V190" s="188">
        <f t="shared" si="48"/>
        <v>6448060496956365</v>
      </c>
      <c r="W190" s="323">
        <v>1.004</v>
      </c>
      <c r="X190" s="323">
        <v>0.83199999999999996</v>
      </c>
      <c r="Y190" s="323">
        <v>0.29099999999999998</v>
      </c>
      <c r="Z190" s="323">
        <v>9.9000000000000005E-2</v>
      </c>
      <c r="AA190" s="323">
        <v>17.399999999999999</v>
      </c>
      <c r="AB190" s="323">
        <v>14.67</v>
      </c>
      <c r="AC190" s="323">
        <v>8.35</v>
      </c>
      <c r="AD190" s="323">
        <v>3.95</v>
      </c>
      <c r="AE190" s="323">
        <v>0.02</v>
      </c>
      <c r="AF190" s="323">
        <v>0.03</v>
      </c>
      <c r="AG190" s="323">
        <v>7.0000000000000007E-2</v>
      </c>
      <c r="AH190" s="323">
        <v>2.83</v>
      </c>
      <c r="AI190" s="323">
        <v>0.16</v>
      </c>
      <c r="AJ190" s="323">
        <v>0.17</v>
      </c>
      <c r="AK190" s="323">
        <v>4.18</v>
      </c>
      <c r="AL190" s="323">
        <v>37.9</v>
      </c>
      <c r="AM190" s="323">
        <v>5.9300023418584362E-2</v>
      </c>
      <c r="AN190" s="323">
        <v>5.8451232870935746E-2</v>
      </c>
      <c r="AO190" s="323">
        <v>1.688883316193094E-2</v>
      </c>
      <c r="AP190" s="323">
        <v>2.1513795099393822E-2</v>
      </c>
      <c r="AQ190" s="323">
        <v>0.11056002341858436</v>
      </c>
      <c r="AR190" s="323">
        <v>0.10969123287093575</v>
      </c>
      <c r="AS190" s="323">
        <v>6.9786333161930947E-2</v>
      </c>
      <c r="AT190" s="323">
        <v>8.7934895099393839E-2</v>
      </c>
      <c r="AU190" s="190">
        <v>374016281685595.75</v>
      </c>
      <c r="AV190" s="190">
        <v>368662801766700.44</v>
      </c>
      <c r="AW190" s="190">
        <v>852168106126469.88</v>
      </c>
      <c r="AX190" s="190">
        <v>1085532070194674.3</v>
      </c>
      <c r="AY190" s="203">
        <v>3.5</v>
      </c>
      <c r="AZ190" s="239">
        <v>101</v>
      </c>
      <c r="BA190" s="203">
        <v>2006</v>
      </c>
      <c r="BB190" s="204">
        <v>39294</v>
      </c>
      <c r="BC190" s="203" t="s">
        <v>3085</v>
      </c>
    </row>
    <row r="191" spans="1:55" x14ac:dyDescent="0.2">
      <c r="A191" s="184" t="s">
        <v>1173</v>
      </c>
      <c r="B191" s="184" t="s">
        <v>1172</v>
      </c>
      <c r="C191" s="184" t="s">
        <v>1052</v>
      </c>
      <c r="D191" s="185" t="s">
        <v>1043</v>
      </c>
      <c r="E191" s="184" t="s">
        <v>1174</v>
      </c>
      <c r="F191" s="184" t="s">
        <v>1174</v>
      </c>
      <c r="G191" s="186">
        <f>IF(ALECA_Input!$F$13="ICAO (3000ft)",'Aircraft Calc'!C$211,'Aircraft Calc'!G$211)</f>
        <v>0.7</v>
      </c>
      <c r="H191" s="186">
        <f>IF(ALECA_Input!$F$13="ICAO (3000ft)",'Aircraft Calc'!D$211,'Aircraft Calc'!H$211)</f>
        <v>2.2000000000000002</v>
      </c>
      <c r="I191" s="186">
        <f>IF(ALECA_Input!$F$13="ICAO (3000ft)",'Aircraft Calc'!E$211,'Aircraft Calc'!I$211)</f>
        <v>4</v>
      </c>
      <c r="J191" s="189">
        <v>1</v>
      </c>
      <c r="K191" s="187">
        <f t="shared" si="37"/>
        <v>212.53200000000001</v>
      </c>
      <c r="L191" s="187">
        <f t="shared" si="38"/>
        <v>3.7114632000000003</v>
      </c>
      <c r="M191" s="187">
        <f t="shared" si="39"/>
        <v>6.345516000000001E-2</v>
      </c>
      <c r="N191" s="187">
        <f t="shared" si="40"/>
        <v>0.34639319999999996</v>
      </c>
      <c r="O191" s="187">
        <f t="shared" si="41"/>
        <v>3.107273393596921E-2</v>
      </c>
      <c r="P191" s="188">
        <f t="shared" si="42"/>
        <v>2.7005206632688131E+17</v>
      </c>
      <c r="Q191" s="187">
        <f t="shared" si="43"/>
        <v>5880</v>
      </c>
      <c r="R191" s="219">
        <f t="shared" si="44"/>
        <v>25.225200000000001</v>
      </c>
      <c r="S191" s="219">
        <f t="shared" si="45"/>
        <v>8.9963999999999995</v>
      </c>
      <c r="T191" s="219">
        <f t="shared" si="46"/>
        <v>108.78</v>
      </c>
      <c r="U191" s="219">
        <f t="shared" si="47"/>
        <v>0.77549992491465936</v>
      </c>
      <c r="V191" s="188">
        <f t="shared" si="48"/>
        <v>2.180305101076724E+16</v>
      </c>
      <c r="W191" s="323">
        <v>0.97199999999999998</v>
      </c>
      <c r="X191" s="323">
        <v>0.79900000000000004</v>
      </c>
      <c r="Y191" s="323">
        <v>0.27600000000000002</v>
      </c>
      <c r="Z191" s="323">
        <v>9.8000000000000004E-2</v>
      </c>
      <c r="AA191" s="323">
        <v>24.79</v>
      </c>
      <c r="AB191" s="323">
        <v>19.98</v>
      </c>
      <c r="AC191" s="323">
        <v>8.94</v>
      </c>
      <c r="AD191" s="323">
        <v>4.29</v>
      </c>
      <c r="AE191" s="323">
        <v>0.23</v>
      </c>
      <c r="AF191" s="323">
        <v>0.23</v>
      </c>
      <c r="AG191" s="323">
        <v>0.45</v>
      </c>
      <c r="AH191" s="323">
        <v>1.53</v>
      </c>
      <c r="AI191" s="323">
        <v>1.1000000000000001</v>
      </c>
      <c r="AJ191" s="323">
        <v>1.1000000000000001</v>
      </c>
      <c r="AK191" s="323">
        <v>2.8</v>
      </c>
      <c r="AL191" s="323">
        <v>18.5</v>
      </c>
      <c r="AM191" s="323">
        <v>8.2769458649206054E-2</v>
      </c>
      <c r="AN191" s="323">
        <v>8.4070595207834733E-2</v>
      </c>
      <c r="AO191" s="323">
        <v>5.7689520843811987E-2</v>
      </c>
      <c r="AP191" s="323">
        <v>7.3487642332425052E-2</v>
      </c>
      <c r="AQ191" s="323">
        <v>0.15817945864920607</v>
      </c>
      <c r="AR191" s="323">
        <v>0.15051059520783472</v>
      </c>
      <c r="AS191" s="323">
        <v>0.13196202084381201</v>
      </c>
      <c r="AT191" s="323">
        <v>0.13188774233242506</v>
      </c>
      <c r="AU191" s="190">
        <v>522042376654507.31</v>
      </c>
      <c r="AV191" s="190">
        <v>530248887032899.13</v>
      </c>
      <c r="AW191" s="190">
        <v>2910868338235988.5</v>
      </c>
      <c r="AX191" s="190">
        <v>3708001872579462.5</v>
      </c>
      <c r="AY191" s="203">
        <v>4.4000000000000004</v>
      </c>
      <c r="AZ191" s="239">
        <v>104.53</v>
      </c>
      <c r="BA191" s="203">
        <v>1986</v>
      </c>
      <c r="BB191" s="204">
        <v>39294</v>
      </c>
      <c r="BC191" s="203" t="s">
        <v>1109</v>
      </c>
    </row>
    <row r="192" spans="1:55" x14ac:dyDescent="0.2">
      <c r="A192" s="184" t="s">
        <v>1176</v>
      </c>
      <c r="B192" s="184" t="s">
        <v>1175</v>
      </c>
      <c r="C192" s="184" t="s">
        <v>1052</v>
      </c>
      <c r="D192" s="185" t="s">
        <v>1043</v>
      </c>
      <c r="E192" s="184" t="s">
        <v>1177</v>
      </c>
      <c r="F192" s="184" t="s">
        <v>1177</v>
      </c>
      <c r="G192" s="186">
        <f>IF(ALECA_Input!$F$13="ICAO (3000ft)",'Aircraft Calc'!C$211,'Aircraft Calc'!G$211)</f>
        <v>0.7</v>
      </c>
      <c r="H192" s="186">
        <f>IF(ALECA_Input!$F$13="ICAO (3000ft)",'Aircraft Calc'!D$211,'Aircraft Calc'!H$211)</f>
        <v>2.2000000000000002</v>
      </c>
      <c r="I192" s="186">
        <f>IF(ALECA_Input!$F$13="ICAO (3000ft)",'Aircraft Calc'!E$211,'Aircraft Calc'!I$211)</f>
        <v>4</v>
      </c>
      <c r="J192" s="189">
        <v>1</v>
      </c>
      <c r="K192" s="187">
        <f t="shared" si="37"/>
        <v>237.67200000000003</v>
      </c>
      <c r="L192" s="187">
        <f t="shared" si="38"/>
        <v>3.3421311600000005</v>
      </c>
      <c r="M192" s="187">
        <f t="shared" si="39"/>
        <v>8.891640000000001E-3</v>
      </c>
      <c r="N192" s="187">
        <f t="shared" si="40"/>
        <v>0.29795675999999999</v>
      </c>
      <c r="O192" s="187">
        <f t="shared" si="41"/>
        <v>2.3948402829729622E-2</v>
      </c>
      <c r="P192" s="188">
        <f t="shared" si="42"/>
        <v>1.2883810551555515E+17</v>
      </c>
      <c r="Q192" s="187">
        <f t="shared" si="43"/>
        <v>6180</v>
      </c>
      <c r="R192" s="219">
        <f t="shared" si="44"/>
        <v>25.276199999999999</v>
      </c>
      <c r="S192" s="219">
        <f t="shared" si="45"/>
        <v>14.213999999999999</v>
      </c>
      <c r="T192" s="219">
        <f t="shared" si="46"/>
        <v>214.5078</v>
      </c>
      <c r="U192" s="219">
        <f t="shared" si="47"/>
        <v>0.52322843371425376</v>
      </c>
      <c r="V192" s="188">
        <f t="shared" si="48"/>
        <v>6708588193803087</v>
      </c>
      <c r="W192" s="323">
        <v>1.0860000000000001</v>
      </c>
      <c r="X192" s="323">
        <v>0.89500000000000002</v>
      </c>
      <c r="Y192" s="323">
        <v>0.308</v>
      </c>
      <c r="Z192" s="323">
        <v>0.10299999999999999</v>
      </c>
      <c r="AA192" s="323">
        <v>18.93</v>
      </c>
      <c r="AB192" s="323">
        <v>15.6</v>
      </c>
      <c r="AC192" s="323">
        <v>8.6</v>
      </c>
      <c r="AD192" s="323">
        <v>4.09</v>
      </c>
      <c r="AE192" s="323">
        <v>0.02</v>
      </c>
      <c r="AF192" s="323">
        <v>0.03</v>
      </c>
      <c r="AG192" s="323">
        <v>0.06</v>
      </c>
      <c r="AH192" s="323">
        <v>2.2999999999999998</v>
      </c>
      <c r="AI192" s="323">
        <v>0.18</v>
      </c>
      <c r="AJ192" s="323">
        <v>0.15</v>
      </c>
      <c r="AK192" s="323">
        <v>3.68</v>
      </c>
      <c r="AL192" s="323">
        <v>34.71</v>
      </c>
      <c r="AM192" s="323">
        <v>7.005208132996138E-2</v>
      </c>
      <c r="AN192" s="323">
        <v>6.1322133306056285E-2</v>
      </c>
      <c r="AO192" s="323">
        <v>1.688883316193094E-2</v>
      </c>
      <c r="AP192" s="323">
        <v>2.1513795099393822E-2</v>
      </c>
      <c r="AQ192" s="323">
        <v>0.12131208132996138</v>
      </c>
      <c r="AR192" s="323">
        <v>0.1125621333060563</v>
      </c>
      <c r="AS192" s="323">
        <v>6.9223833161930939E-2</v>
      </c>
      <c r="AT192" s="323">
        <v>8.4664795099393814E-2</v>
      </c>
      <c r="AU192" s="190">
        <v>441831511573365.5</v>
      </c>
      <c r="AV192" s="190">
        <v>386770105000864.56</v>
      </c>
      <c r="AW192" s="190">
        <v>852168106126469.88</v>
      </c>
      <c r="AX192" s="190">
        <v>1085532070194674.3</v>
      </c>
      <c r="AY192" s="203">
        <v>4</v>
      </c>
      <c r="AZ192" s="239">
        <v>107.6</v>
      </c>
      <c r="BA192" s="203">
        <v>2006</v>
      </c>
      <c r="BB192" s="204">
        <v>39294</v>
      </c>
      <c r="BC192" s="203" t="s">
        <v>3085</v>
      </c>
    </row>
    <row r="193" spans="1:55" x14ac:dyDescent="0.2">
      <c r="A193" s="184" t="s">
        <v>1179</v>
      </c>
      <c r="B193" s="184" t="s">
        <v>1178</v>
      </c>
      <c r="C193" s="184" t="s">
        <v>1052</v>
      </c>
      <c r="D193" s="185" t="s">
        <v>1043</v>
      </c>
      <c r="E193" s="184" t="s">
        <v>1180</v>
      </c>
      <c r="F193" s="184" t="s">
        <v>1180</v>
      </c>
      <c r="G193" s="186">
        <f>IF(ALECA_Input!$F$13="ICAO (3000ft)",'Aircraft Calc'!C$211,'Aircraft Calc'!G$211)</f>
        <v>0.7</v>
      </c>
      <c r="H193" s="186">
        <f>IF(ALECA_Input!$F$13="ICAO (3000ft)",'Aircraft Calc'!D$211,'Aircraft Calc'!H$211)</f>
        <v>2.2000000000000002</v>
      </c>
      <c r="I193" s="186">
        <f>IF(ALECA_Input!$F$13="ICAO (3000ft)",'Aircraft Calc'!E$211,'Aircraft Calc'!I$211)</f>
        <v>4</v>
      </c>
      <c r="J193" s="189">
        <v>1</v>
      </c>
      <c r="K193" s="187">
        <f t="shared" si="37"/>
        <v>260.53800000000001</v>
      </c>
      <c r="L193" s="187">
        <f t="shared" si="38"/>
        <v>4.0425086999999991</v>
      </c>
      <c r="M193" s="187">
        <f t="shared" si="39"/>
        <v>7.5939599999999994E-3</v>
      </c>
      <c r="N193" s="187">
        <f t="shared" si="40"/>
        <v>0.27744162</v>
      </c>
      <c r="O193" s="187">
        <f t="shared" si="41"/>
        <v>2.7226807722372289E-2</v>
      </c>
      <c r="P193" s="188">
        <f t="shared" si="42"/>
        <v>1.500068044487039E+17</v>
      </c>
      <c r="Q193" s="187">
        <f t="shared" si="43"/>
        <v>6479.9999999999991</v>
      </c>
      <c r="R193" s="219">
        <f t="shared" si="44"/>
        <v>27.669599999999996</v>
      </c>
      <c r="S193" s="219">
        <f t="shared" si="45"/>
        <v>11.34</v>
      </c>
      <c r="T193" s="219">
        <f t="shared" si="46"/>
        <v>200.49119999999999</v>
      </c>
      <c r="U193" s="219">
        <f t="shared" si="47"/>
        <v>0.52663799224407193</v>
      </c>
      <c r="V193" s="188">
        <f t="shared" si="48"/>
        <v>7034247814861489</v>
      </c>
      <c r="W193" s="323">
        <v>1.2130000000000001</v>
      </c>
      <c r="X193" s="323">
        <v>0.98599999999999999</v>
      </c>
      <c r="Y193" s="323">
        <v>0.33100000000000002</v>
      </c>
      <c r="Z193" s="323">
        <v>0.108</v>
      </c>
      <c r="AA193" s="323">
        <v>21.79</v>
      </c>
      <c r="AB193" s="323">
        <v>17.079999999999998</v>
      </c>
      <c r="AC193" s="323">
        <v>8.93</v>
      </c>
      <c r="AD193" s="323">
        <v>4.2699999999999996</v>
      </c>
      <c r="AE193" s="323">
        <v>0.02</v>
      </c>
      <c r="AF193" s="323">
        <v>0.02</v>
      </c>
      <c r="AG193" s="323">
        <v>0.05</v>
      </c>
      <c r="AH193" s="323">
        <v>1.75</v>
      </c>
      <c r="AI193" s="323">
        <v>0.25</v>
      </c>
      <c r="AJ193" s="323">
        <v>0.16</v>
      </c>
      <c r="AK193" s="323">
        <v>3.07</v>
      </c>
      <c r="AL193" s="323">
        <v>30.94</v>
      </c>
      <c r="AM193" s="323">
        <v>7.5488610788657567E-2</v>
      </c>
      <c r="AN193" s="323">
        <v>6.6685884317897709E-2</v>
      </c>
      <c r="AO193" s="323">
        <v>1.7715148809042278E-2</v>
      </c>
      <c r="AP193" s="323">
        <v>2.1513795099393822E-2</v>
      </c>
      <c r="AQ193" s="323">
        <v>0.12674861078865757</v>
      </c>
      <c r="AR193" s="323">
        <v>0.11716588431789769</v>
      </c>
      <c r="AS193" s="323">
        <v>6.9487648809042291E-2</v>
      </c>
      <c r="AT193" s="323">
        <v>8.127129509939382E-2</v>
      </c>
      <c r="AU193" s="190">
        <v>476120714447078.13</v>
      </c>
      <c r="AV193" s="190">
        <v>420600280668342.75</v>
      </c>
      <c r="AW193" s="190">
        <v>893861918440797.25</v>
      </c>
      <c r="AX193" s="190">
        <v>1085532070194674.3</v>
      </c>
      <c r="AY193" s="203">
        <v>4.8</v>
      </c>
      <c r="AZ193" s="239">
        <v>117</v>
      </c>
      <c r="BA193" s="203">
        <v>2006</v>
      </c>
      <c r="BB193" s="204">
        <v>39294</v>
      </c>
      <c r="BC193" s="203" t="s">
        <v>3085</v>
      </c>
    </row>
    <row r="194" spans="1:55" x14ac:dyDescent="0.2">
      <c r="A194" s="184" t="s">
        <v>1182</v>
      </c>
      <c r="B194" s="184" t="s">
        <v>1181</v>
      </c>
      <c r="C194" s="184" t="s">
        <v>1052</v>
      </c>
      <c r="D194" s="185" t="s">
        <v>1043</v>
      </c>
      <c r="E194" s="184" t="s">
        <v>1183</v>
      </c>
      <c r="F194" s="184" t="s">
        <v>1184</v>
      </c>
      <c r="G194" s="186">
        <f>IF(ALECA_Input!$F$13="ICAO (3000ft)",'Aircraft Calc'!C$211,'Aircraft Calc'!G$211)</f>
        <v>0.7</v>
      </c>
      <c r="H194" s="186">
        <f>IF(ALECA_Input!$F$13="ICAO (3000ft)",'Aircraft Calc'!D$211,'Aircraft Calc'!H$211)</f>
        <v>2.2000000000000002</v>
      </c>
      <c r="I194" s="186">
        <f>IF(ALECA_Input!$F$13="ICAO (3000ft)",'Aircraft Calc'!E$211,'Aircraft Calc'!I$211)</f>
        <v>4</v>
      </c>
      <c r="J194" s="189">
        <v>1</v>
      </c>
      <c r="K194" s="187">
        <f t="shared" si="37"/>
        <v>290.77800000000002</v>
      </c>
      <c r="L194" s="187">
        <f t="shared" si="38"/>
        <v>4.3620931799999996</v>
      </c>
      <c r="M194" s="187">
        <f t="shared" si="39"/>
        <v>0.82611780000000001</v>
      </c>
      <c r="N194" s="187">
        <f t="shared" si="40"/>
        <v>3.798918</v>
      </c>
      <c r="O194" s="187">
        <f t="shared" si="41"/>
        <v>6.3365863708584089E-2</v>
      </c>
      <c r="P194" s="188">
        <f t="shared" si="42"/>
        <v>5.091788372460652E+16</v>
      </c>
      <c r="Q194" s="187">
        <f t="shared" si="43"/>
        <v>7740</v>
      </c>
      <c r="R194" s="219">
        <f t="shared" si="44"/>
        <v>36.610200000000006</v>
      </c>
      <c r="S194" s="219">
        <f t="shared" si="45"/>
        <v>13.157999999999999</v>
      </c>
      <c r="T194" s="219">
        <f t="shared" si="46"/>
        <v>263.16000000000003</v>
      </c>
      <c r="U194" s="219">
        <f t="shared" si="47"/>
        <v>1.1049045027268911</v>
      </c>
      <c r="V194" s="188">
        <f t="shared" si="48"/>
        <v>3.2533436691274224E+16</v>
      </c>
      <c r="W194" s="323">
        <v>1.345</v>
      </c>
      <c r="X194" s="323">
        <v>1.1040000000000001</v>
      </c>
      <c r="Y194" s="323">
        <v>0.36899999999999999</v>
      </c>
      <c r="Z194" s="323">
        <v>0.129</v>
      </c>
      <c r="AA194" s="323">
        <v>27.75</v>
      </c>
      <c r="AB194" s="323">
        <v>14.91</v>
      </c>
      <c r="AC194" s="323">
        <v>7.0200000000000005</v>
      </c>
      <c r="AD194" s="323">
        <v>4.7300000000000004</v>
      </c>
      <c r="AE194" s="323">
        <v>0.1</v>
      </c>
      <c r="AF194" s="323">
        <v>0.1</v>
      </c>
      <c r="AG194" s="323">
        <v>9.1</v>
      </c>
      <c r="AH194" s="323">
        <v>1.7</v>
      </c>
      <c r="AI194" s="323">
        <v>0.6</v>
      </c>
      <c r="AJ194" s="323">
        <v>2.5</v>
      </c>
      <c r="AK194" s="323">
        <v>38.4</v>
      </c>
      <c r="AL194" s="323">
        <v>34</v>
      </c>
      <c r="AM194" s="323">
        <v>5.3282719929790842E-3</v>
      </c>
      <c r="AN194" s="323">
        <v>6.0234392639548079E-3</v>
      </c>
      <c r="AO194" s="323">
        <v>9.7309980424919937E-3</v>
      </c>
      <c r="AP194" s="323">
        <v>8.3303519732156467E-2</v>
      </c>
      <c r="AQ194" s="323">
        <v>6.5788271992979083E-2</v>
      </c>
      <c r="AR194" s="323">
        <v>6.2583439263954807E-2</v>
      </c>
      <c r="AS194" s="323">
        <v>0.57056599804249197</v>
      </c>
      <c r="AT194" s="323">
        <v>0.14275251973215647</v>
      </c>
      <c r="AU194" s="190">
        <v>33606402893914.918</v>
      </c>
      <c r="AV194" s="190">
        <v>37990952222075.539</v>
      </c>
      <c r="AW194" s="190">
        <v>491001722444790.38</v>
      </c>
      <c r="AX194" s="190">
        <v>4203286394221476</v>
      </c>
      <c r="AY194" s="203">
        <v>5.3</v>
      </c>
      <c r="AZ194" s="239">
        <v>133.44999999999999</v>
      </c>
      <c r="BA194" s="203">
        <v>1994</v>
      </c>
      <c r="BB194" s="204">
        <v>39296</v>
      </c>
      <c r="BC194" s="203" t="s">
        <v>3086</v>
      </c>
    </row>
    <row r="195" spans="1:55" x14ac:dyDescent="0.2">
      <c r="A195" s="184" t="s">
        <v>1186</v>
      </c>
      <c r="B195" s="184" t="s">
        <v>1185</v>
      </c>
      <c r="C195" s="184" t="s">
        <v>1052</v>
      </c>
      <c r="D195" s="185" t="s">
        <v>1043</v>
      </c>
      <c r="E195" s="184" t="s">
        <v>1187</v>
      </c>
      <c r="F195" s="184" t="s">
        <v>1188</v>
      </c>
      <c r="G195" s="186">
        <f>IF(ALECA_Input!$F$13="ICAO (3000ft)",'Aircraft Calc'!C$211,'Aircraft Calc'!G$211)</f>
        <v>0.7</v>
      </c>
      <c r="H195" s="186">
        <f>IF(ALECA_Input!$F$13="ICAO (3000ft)",'Aircraft Calc'!D$211,'Aircraft Calc'!H$211)</f>
        <v>2.2000000000000002</v>
      </c>
      <c r="I195" s="186">
        <f>IF(ALECA_Input!$F$13="ICAO (3000ft)",'Aircraft Calc'!E$211,'Aircraft Calc'!I$211)</f>
        <v>4</v>
      </c>
      <c r="J195" s="189">
        <v>1</v>
      </c>
      <c r="K195" s="187">
        <f t="shared" si="37"/>
        <v>298.95600000000002</v>
      </c>
      <c r="L195" s="187">
        <f t="shared" si="38"/>
        <v>4.7711074800000004</v>
      </c>
      <c r="M195" s="187">
        <f t="shared" si="39"/>
        <v>0.78087960000000001</v>
      </c>
      <c r="N195" s="187">
        <f t="shared" si="40"/>
        <v>3.5168256000000007</v>
      </c>
      <c r="O195" s="187">
        <f t="shared" si="41"/>
        <v>6.1374258922323614E-2</v>
      </c>
      <c r="P195" s="188">
        <f t="shared" si="42"/>
        <v>5.3969096103050232E+16</v>
      </c>
      <c r="Q195" s="187">
        <f t="shared" si="43"/>
        <v>7860</v>
      </c>
      <c r="R195" s="219">
        <f t="shared" si="44"/>
        <v>37.885200000000005</v>
      </c>
      <c r="S195" s="219">
        <f t="shared" si="45"/>
        <v>13.362</v>
      </c>
      <c r="T195" s="219">
        <f t="shared" si="46"/>
        <v>264.88200000000001</v>
      </c>
      <c r="U195" s="219">
        <f t="shared" si="47"/>
        <v>1.12203480509475</v>
      </c>
      <c r="V195" s="188">
        <f t="shared" si="48"/>
        <v>3.3037831058580804E+16</v>
      </c>
      <c r="W195" s="323">
        <v>1.4059999999999999</v>
      </c>
      <c r="X195" s="323">
        <v>1.1319999999999999</v>
      </c>
      <c r="Y195" s="323">
        <v>0.377</v>
      </c>
      <c r="Z195" s="323">
        <v>0.13100000000000001</v>
      </c>
      <c r="AA195" s="323">
        <v>29.57</v>
      </c>
      <c r="AB195" s="323">
        <v>15.860000000000001</v>
      </c>
      <c r="AC195" s="323">
        <v>7.24</v>
      </c>
      <c r="AD195" s="323">
        <v>4.82</v>
      </c>
      <c r="AE195" s="323">
        <v>0.1</v>
      </c>
      <c r="AF195" s="323">
        <v>0.1</v>
      </c>
      <c r="AG195" s="323">
        <v>8.4</v>
      </c>
      <c r="AH195" s="323">
        <v>1.7</v>
      </c>
      <c r="AI195" s="323">
        <v>0.4</v>
      </c>
      <c r="AJ195" s="323">
        <v>1.7</v>
      </c>
      <c r="AK195" s="323">
        <v>35.800000000000004</v>
      </c>
      <c r="AL195" s="323">
        <v>33.700000000000003</v>
      </c>
      <c r="AM195" s="323">
        <v>5.5207893362721489E-3</v>
      </c>
      <c r="AN195" s="323">
        <v>6.241073897868335E-3</v>
      </c>
      <c r="AO195" s="323">
        <v>1.0082591559714665E-2</v>
      </c>
      <c r="AP195" s="323">
        <v>8.3303519732156467E-2</v>
      </c>
      <c r="AQ195" s="323">
        <v>6.5980789336272147E-2</v>
      </c>
      <c r="AR195" s="323">
        <v>6.2801073897868334E-2</v>
      </c>
      <c r="AS195" s="323">
        <v>0.53154259155971473</v>
      </c>
      <c r="AT195" s="323">
        <v>0.14275251973215647</v>
      </c>
      <c r="AU195" s="190">
        <v>34820645599861.227</v>
      </c>
      <c r="AV195" s="190">
        <v>39363614353551.742</v>
      </c>
      <c r="AW195" s="190">
        <v>508742248319209.88</v>
      </c>
      <c r="AX195" s="190">
        <v>4203286394221476</v>
      </c>
      <c r="AY195" s="203">
        <v>5.8</v>
      </c>
      <c r="AZ195" s="239">
        <v>137.9</v>
      </c>
      <c r="BA195" s="203">
        <v>1995</v>
      </c>
      <c r="BB195" s="204">
        <v>39296</v>
      </c>
      <c r="BC195" s="203" t="s">
        <v>3086</v>
      </c>
    </row>
    <row r="196" spans="1:55" x14ac:dyDescent="0.2">
      <c r="A196" s="184" t="s">
        <v>1190</v>
      </c>
      <c r="B196" s="184" t="s">
        <v>1189</v>
      </c>
      <c r="C196" s="184" t="s">
        <v>1052</v>
      </c>
      <c r="D196" s="185" t="s">
        <v>1043</v>
      </c>
      <c r="E196" s="184" t="s">
        <v>1191</v>
      </c>
      <c r="F196" s="184" t="s">
        <v>1192</v>
      </c>
      <c r="G196" s="186">
        <f>IF(ALECA_Input!$F$13="ICAO (3000ft)",'Aircraft Calc'!C$211,'Aircraft Calc'!G$211)</f>
        <v>0.7</v>
      </c>
      <c r="H196" s="186">
        <f>IF(ALECA_Input!$F$13="ICAO (3000ft)",'Aircraft Calc'!D$211,'Aircraft Calc'!H$211)</f>
        <v>2.2000000000000002</v>
      </c>
      <c r="I196" s="186">
        <f>IF(ALECA_Input!$F$13="ICAO (3000ft)",'Aircraft Calc'!E$211,'Aircraft Calc'!I$211)</f>
        <v>4</v>
      </c>
      <c r="J196" s="189">
        <v>1</v>
      </c>
      <c r="K196" s="187">
        <f t="shared" si="37"/>
        <v>258.65999999999997</v>
      </c>
      <c r="L196" s="187">
        <f t="shared" si="38"/>
        <v>2.9350895999999995</v>
      </c>
      <c r="M196" s="187">
        <f t="shared" si="39"/>
        <v>0.93438600000000005</v>
      </c>
      <c r="N196" s="187">
        <f t="shared" si="40"/>
        <v>4.231446</v>
      </c>
      <c r="O196" s="187">
        <f t="shared" si="41"/>
        <v>6.765603049156238E-2</v>
      </c>
      <c r="P196" s="188">
        <f t="shared" si="42"/>
        <v>4.7694685128095712E+16</v>
      </c>
      <c r="Q196" s="187">
        <f t="shared" si="43"/>
        <v>7260</v>
      </c>
      <c r="R196" s="219">
        <f t="shared" si="44"/>
        <v>32.5974</v>
      </c>
      <c r="S196" s="219">
        <f t="shared" si="45"/>
        <v>15.972000000000001</v>
      </c>
      <c r="T196" s="219">
        <f t="shared" si="46"/>
        <v>269.346</v>
      </c>
      <c r="U196" s="219">
        <f t="shared" si="47"/>
        <v>1.058780393255456</v>
      </c>
      <c r="V196" s="188">
        <f t="shared" si="48"/>
        <v>3.0515859222047916E+16</v>
      </c>
      <c r="W196" s="323">
        <v>1.18</v>
      </c>
      <c r="X196" s="323">
        <v>0.97499999999999998</v>
      </c>
      <c r="Y196" s="323">
        <v>0.33500000000000002</v>
      </c>
      <c r="Z196" s="323">
        <v>0.121</v>
      </c>
      <c r="AA196" s="323">
        <v>16.61</v>
      </c>
      <c r="AB196" s="323">
        <v>12.58</v>
      </c>
      <c r="AC196" s="323">
        <v>6.13</v>
      </c>
      <c r="AD196" s="323">
        <v>4.49</v>
      </c>
      <c r="AE196" s="323">
        <v>0.1</v>
      </c>
      <c r="AF196" s="323">
        <v>0.1</v>
      </c>
      <c r="AG196" s="323">
        <v>11.4</v>
      </c>
      <c r="AH196" s="323">
        <v>2.2000000000000002</v>
      </c>
      <c r="AI196" s="323">
        <v>1.6</v>
      </c>
      <c r="AJ196" s="323">
        <v>4.9000000000000004</v>
      </c>
      <c r="AK196" s="323">
        <v>43.800000000000004</v>
      </c>
      <c r="AL196" s="323">
        <v>37.1</v>
      </c>
      <c r="AM196" s="323">
        <v>5.5207893362721489E-3</v>
      </c>
      <c r="AN196" s="323">
        <v>6.241073897868335E-3</v>
      </c>
      <c r="AO196" s="323">
        <v>1.0082591559714665E-2</v>
      </c>
      <c r="AP196" s="323">
        <v>8.3303519732156467E-2</v>
      </c>
      <c r="AQ196" s="323">
        <v>6.5980789336272147E-2</v>
      </c>
      <c r="AR196" s="323">
        <v>6.2801073897868334E-2</v>
      </c>
      <c r="AS196" s="323">
        <v>0.70029259155971479</v>
      </c>
      <c r="AT196" s="323">
        <v>0.14583751973215647</v>
      </c>
      <c r="AU196" s="190">
        <v>34820645599861.227</v>
      </c>
      <c r="AV196" s="190">
        <v>39363614353551.742</v>
      </c>
      <c r="AW196" s="190">
        <v>508742248319209.88</v>
      </c>
      <c r="AX196" s="190">
        <v>4203286394221476</v>
      </c>
      <c r="AY196" s="203">
        <v>3.8</v>
      </c>
      <c r="AZ196" s="239">
        <v>117.9</v>
      </c>
      <c r="BA196" s="203">
        <v>1994</v>
      </c>
      <c r="BB196" s="204">
        <v>39294</v>
      </c>
      <c r="BC196" s="203" t="s">
        <v>3086</v>
      </c>
    </row>
    <row r="197" spans="1:55" x14ac:dyDescent="0.2">
      <c r="A197" s="184" t="s">
        <v>1194</v>
      </c>
      <c r="B197" s="184" t="s">
        <v>1193</v>
      </c>
      <c r="C197" s="184" t="s">
        <v>1052</v>
      </c>
      <c r="D197" s="185" t="s">
        <v>1043</v>
      </c>
      <c r="E197" s="184" t="s">
        <v>1195</v>
      </c>
      <c r="F197" s="184" t="s">
        <v>1196</v>
      </c>
      <c r="G197" s="186">
        <f>IF(ALECA_Input!$F$13="ICAO (3000ft)",'Aircraft Calc'!C$211,'Aircraft Calc'!G$211)</f>
        <v>0.7</v>
      </c>
      <c r="H197" s="186">
        <f>IF(ALECA_Input!$F$13="ICAO (3000ft)",'Aircraft Calc'!D$211,'Aircraft Calc'!H$211)</f>
        <v>2.2000000000000002</v>
      </c>
      <c r="I197" s="186">
        <f>IF(ALECA_Input!$F$13="ICAO (3000ft)",'Aircraft Calc'!E$211,'Aircraft Calc'!I$211)</f>
        <v>4</v>
      </c>
      <c r="J197" s="189">
        <v>1</v>
      </c>
      <c r="K197" s="187">
        <f t="shared" si="37"/>
        <v>226.67999999999998</v>
      </c>
      <c r="L197" s="187">
        <f t="shared" si="38"/>
        <v>2.4828743999999996</v>
      </c>
      <c r="M197" s="187">
        <f t="shared" si="39"/>
        <v>4.1144400000000005E-2</v>
      </c>
      <c r="N197" s="187">
        <f t="shared" si="40"/>
        <v>2.8593012</v>
      </c>
      <c r="O197" s="187">
        <f t="shared" si="41"/>
        <v>1.5333176581175646E-2</v>
      </c>
      <c r="P197" s="188">
        <f t="shared" si="42"/>
        <v>3.2816841719613224E+16</v>
      </c>
      <c r="Q197" s="187">
        <f t="shared" si="43"/>
        <v>6660</v>
      </c>
      <c r="R197" s="219">
        <f t="shared" si="44"/>
        <v>25.974</v>
      </c>
      <c r="S197" s="219">
        <f t="shared" si="45"/>
        <v>22.643999999999998</v>
      </c>
      <c r="T197" s="219">
        <f t="shared" si="46"/>
        <v>307.02600000000001</v>
      </c>
      <c r="U197" s="219">
        <f t="shared" si="47"/>
        <v>0.86428587639206955</v>
      </c>
      <c r="V197" s="188">
        <f t="shared" si="48"/>
        <v>2.0107248461697852E+16</v>
      </c>
      <c r="W197" s="323">
        <v>0.998</v>
      </c>
      <c r="X197" s="323">
        <v>0.82699999999999996</v>
      </c>
      <c r="Y197" s="323">
        <v>0.315</v>
      </c>
      <c r="Z197" s="323">
        <v>0.111</v>
      </c>
      <c r="AA197" s="323">
        <v>13.51</v>
      </c>
      <c r="AB197" s="323">
        <v>10.41</v>
      </c>
      <c r="AC197" s="323">
        <v>10.32</v>
      </c>
      <c r="AD197" s="323">
        <v>3.9</v>
      </c>
      <c r="AE197" s="323">
        <v>0.1</v>
      </c>
      <c r="AF197" s="323">
        <v>0.2</v>
      </c>
      <c r="AG197" s="323">
        <v>0.2</v>
      </c>
      <c r="AH197" s="323">
        <v>3.4</v>
      </c>
      <c r="AI197" s="323">
        <v>4.4800000000000004</v>
      </c>
      <c r="AJ197" s="323">
        <v>12.18</v>
      </c>
      <c r="AK197" s="323">
        <v>17.75</v>
      </c>
      <c r="AL197" s="323">
        <v>46.1</v>
      </c>
      <c r="AM197" s="323">
        <v>4.0973524590271369E-3</v>
      </c>
      <c r="AN197" s="323">
        <v>4.6319245174582272E-3</v>
      </c>
      <c r="AO197" s="323">
        <v>7.4829754957573789E-3</v>
      </c>
      <c r="AP197" s="323">
        <v>5.9834654112923338E-2</v>
      </c>
      <c r="AQ197" s="323">
        <v>6.4557352459027148E-2</v>
      </c>
      <c r="AR197" s="323">
        <v>6.8791924517458219E-2</v>
      </c>
      <c r="AS197" s="323">
        <v>6.7692975495757368E-2</v>
      </c>
      <c r="AT197" s="323">
        <v>0.12977265411292335</v>
      </c>
      <c r="AU197" s="190">
        <v>25842764355475.629</v>
      </c>
      <c r="AV197" s="190">
        <v>29214409796086.898</v>
      </c>
      <c r="AW197" s="190">
        <v>377572150501442.81</v>
      </c>
      <c r="AX197" s="190">
        <v>3019106375630308</v>
      </c>
      <c r="AY197" s="203">
        <v>3.2</v>
      </c>
      <c r="AZ197" s="239">
        <v>104.5</v>
      </c>
      <c r="BA197" s="203">
        <v>1995</v>
      </c>
      <c r="BB197" s="204">
        <v>35684</v>
      </c>
      <c r="BC197" s="203" t="s">
        <v>3086</v>
      </c>
    </row>
    <row r="198" spans="1:55" x14ac:dyDescent="0.2">
      <c r="A198" s="184" t="s">
        <v>1198</v>
      </c>
      <c r="B198" s="184" t="s">
        <v>1197</v>
      </c>
      <c r="C198" s="184" t="s">
        <v>1052</v>
      </c>
      <c r="D198" s="185" t="s">
        <v>1043</v>
      </c>
      <c r="E198" s="184" t="s">
        <v>1199</v>
      </c>
      <c r="F198" s="184" t="s">
        <v>1199</v>
      </c>
      <c r="G198" s="186">
        <f>IF(ALECA_Input!$F$13="ICAO (3000ft)",'Aircraft Calc'!C$211,'Aircraft Calc'!G$211)</f>
        <v>0.7</v>
      </c>
      <c r="H198" s="186">
        <f>IF(ALECA_Input!$F$13="ICAO (3000ft)",'Aircraft Calc'!D$211,'Aircraft Calc'!H$211)</f>
        <v>2.2000000000000002</v>
      </c>
      <c r="I198" s="186">
        <f>IF(ALECA_Input!$F$13="ICAO (3000ft)",'Aircraft Calc'!E$211,'Aircraft Calc'!I$211)</f>
        <v>4</v>
      </c>
      <c r="J198" s="189">
        <v>1</v>
      </c>
      <c r="K198" s="187">
        <f t="shared" si="37"/>
        <v>302.16000000000003</v>
      </c>
      <c r="L198" s="187">
        <f t="shared" si="38"/>
        <v>6.0664558800000004</v>
      </c>
      <c r="M198" s="187">
        <f t="shared" si="39"/>
        <v>1.054212E-2</v>
      </c>
      <c r="N198" s="187">
        <f t="shared" si="40"/>
        <v>0.26072556000000002</v>
      </c>
      <c r="O198" s="187">
        <f t="shared" si="41"/>
        <v>3.625387470102686E-2</v>
      </c>
      <c r="P198" s="188">
        <f t="shared" si="42"/>
        <v>1.9936138615488806E+17</v>
      </c>
      <c r="Q198" s="187">
        <f t="shared" si="43"/>
        <v>6780</v>
      </c>
      <c r="R198" s="219">
        <f t="shared" si="44"/>
        <v>31.187999999999999</v>
      </c>
      <c r="S198" s="219">
        <f t="shared" si="45"/>
        <v>7.4580000000000011</v>
      </c>
      <c r="T198" s="219">
        <f t="shared" si="46"/>
        <v>173.50020000000001</v>
      </c>
      <c r="U198" s="219">
        <f t="shared" si="47"/>
        <v>0.52382819077389009</v>
      </c>
      <c r="V198" s="188">
        <f t="shared" si="48"/>
        <v>7359907435919892</v>
      </c>
      <c r="W198" s="323">
        <v>1.462</v>
      </c>
      <c r="X198" s="323">
        <v>1.153</v>
      </c>
      <c r="Y198" s="323">
        <v>0.36899999999999999</v>
      </c>
      <c r="Z198" s="323">
        <v>0.113</v>
      </c>
      <c r="AA198" s="323">
        <v>30.9</v>
      </c>
      <c r="AB198" s="323">
        <v>21.83</v>
      </c>
      <c r="AC198" s="323">
        <v>9.56</v>
      </c>
      <c r="AD198" s="323">
        <v>4.5999999999999996</v>
      </c>
      <c r="AE198" s="323">
        <v>0.05</v>
      </c>
      <c r="AF198" s="323">
        <v>0.02</v>
      </c>
      <c r="AG198" s="323">
        <v>0.05</v>
      </c>
      <c r="AH198" s="323">
        <v>1.1000000000000001</v>
      </c>
      <c r="AI198" s="323">
        <v>0.54</v>
      </c>
      <c r="AJ198" s="323">
        <v>0.25</v>
      </c>
      <c r="AK198" s="323">
        <v>2.14</v>
      </c>
      <c r="AL198" s="323">
        <v>25.59</v>
      </c>
      <c r="AM198" s="323">
        <v>9.3887104626386622E-2</v>
      </c>
      <c r="AN198" s="323">
        <v>8.7339600449548194E-2</v>
      </c>
      <c r="AO198" s="323">
        <v>1.7715148809042278E-2</v>
      </c>
      <c r="AP198" s="323">
        <v>2.1513795099393822E-2</v>
      </c>
      <c r="AQ198" s="323">
        <v>0.14859710462638659</v>
      </c>
      <c r="AR198" s="323">
        <v>0.13781960044954819</v>
      </c>
      <c r="AS198" s="323">
        <v>6.9487648809042263E-2</v>
      </c>
      <c r="AT198" s="323">
        <v>7.726079509939382E-2</v>
      </c>
      <c r="AU198" s="190">
        <v>592163438498451.63</v>
      </c>
      <c r="AV198" s="190">
        <v>550867111357802.44</v>
      </c>
      <c r="AW198" s="190">
        <v>893861918440797.25</v>
      </c>
      <c r="AX198" s="190">
        <v>1085532070194674.3</v>
      </c>
      <c r="AY198" s="203">
        <v>6.9</v>
      </c>
      <c r="AZ198" s="239">
        <v>142.30000000000001</v>
      </c>
      <c r="BA198" s="203">
        <v>2006</v>
      </c>
      <c r="BB198" s="204">
        <v>39294</v>
      </c>
      <c r="BC198" s="203" t="s">
        <v>1105</v>
      </c>
    </row>
    <row r="199" spans="1:55" x14ac:dyDescent="0.2">
      <c r="A199" s="184" t="s">
        <v>1201</v>
      </c>
      <c r="B199" s="184" t="s">
        <v>1200</v>
      </c>
      <c r="C199" s="184" t="s">
        <v>1052</v>
      </c>
      <c r="D199" s="185" t="s">
        <v>1043</v>
      </c>
      <c r="E199" s="184" t="s">
        <v>1202</v>
      </c>
      <c r="F199" s="184" t="s">
        <v>1202</v>
      </c>
      <c r="G199" s="186">
        <f>IF(ALECA_Input!$F$13="ICAO (3000ft)",'Aircraft Calc'!C$211,'Aircraft Calc'!G$211)</f>
        <v>0.7</v>
      </c>
      <c r="H199" s="186">
        <f>IF(ALECA_Input!$F$13="ICAO (3000ft)",'Aircraft Calc'!D$211,'Aircraft Calc'!H$211)</f>
        <v>2.2000000000000002</v>
      </c>
      <c r="I199" s="186">
        <f>IF(ALECA_Input!$F$13="ICAO (3000ft)",'Aircraft Calc'!E$211,'Aircraft Calc'!I$211)</f>
        <v>4</v>
      </c>
      <c r="J199" s="189">
        <v>1</v>
      </c>
      <c r="K199" s="187">
        <f t="shared" si="37"/>
        <v>285.48</v>
      </c>
      <c r="L199" s="187">
        <f t="shared" si="38"/>
        <v>4.2563280000000008</v>
      </c>
      <c r="M199" s="187">
        <f t="shared" si="39"/>
        <v>0.34822799999999998</v>
      </c>
      <c r="N199" s="187">
        <f t="shared" si="40"/>
        <v>2.3639880000000004</v>
      </c>
      <c r="O199" s="187">
        <f t="shared" si="41"/>
        <v>3.4967164301636135E-2</v>
      </c>
      <c r="P199" s="188">
        <f t="shared" si="42"/>
        <v>2.142173713620352E+16</v>
      </c>
      <c r="Q199" s="187">
        <f t="shared" si="43"/>
        <v>7199.9999999999991</v>
      </c>
      <c r="R199" s="219">
        <f t="shared" si="44"/>
        <v>29.519999999999996</v>
      </c>
      <c r="S199" s="219">
        <f t="shared" si="45"/>
        <v>20.88</v>
      </c>
      <c r="T199" s="219">
        <f t="shared" si="46"/>
        <v>262.79999999999995</v>
      </c>
      <c r="U199" s="219">
        <f t="shared" si="47"/>
        <v>0.64253810002939438</v>
      </c>
      <c r="V199" s="188">
        <f t="shared" si="48"/>
        <v>8133570556780793</v>
      </c>
      <c r="W199" s="323">
        <v>1.32</v>
      </c>
      <c r="X199" s="323">
        <v>1.07</v>
      </c>
      <c r="Y199" s="323">
        <v>0.37</v>
      </c>
      <c r="Z199" s="323">
        <v>0.12</v>
      </c>
      <c r="AA199" s="323">
        <v>23.3</v>
      </c>
      <c r="AB199" s="323">
        <v>16.399999999999999</v>
      </c>
      <c r="AC199" s="323">
        <v>7.3</v>
      </c>
      <c r="AD199" s="323">
        <v>4.0999999999999996</v>
      </c>
      <c r="AE199" s="323">
        <v>0.1</v>
      </c>
      <c r="AF199" s="323">
        <v>0.1</v>
      </c>
      <c r="AG199" s="323">
        <v>3.7</v>
      </c>
      <c r="AH199" s="323">
        <v>2.9</v>
      </c>
      <c r="AI199" s="323">
        <v>0.8</v>
      </c>
      <c r="AJ199" s="323">
        <v>1.9</v>
      </c>
      <c r="AK199" s="323">
        <v>23.1</v>
      </c>
      <c r="AL199" s="323">
        <v>36.5</v>
      </c>
      <c r="AM199" s="323">
        <v>2.2892570141976229E-3</v>
      </c>
      <c r="AN199" s="323">
        <v>2.1198158225478507E-3</v>
      </c>
      <c r="AO199" s="323">
        <v>4.1808593017157525E-3</v>
      </c>
      <c r="AP199" s="323">
        <v>2.2388402781860346E-2</v>
      </c>
      <c r="AQ199" s="323">
        <v>6.2749257014197618E-2</v>
      </c>
      <c r="AR199" s="323">
        <v>5.8679815822547859E-2</v>
      </c>
      <c r="AS199" s="323">
        <v>0.26126585930171575</v>
      </c>
      <c r="AT199" s="323">
        <v>8.9241402781860338E-2</v>
      </c>
      <c r="AU199" s="190">
        <v>14438769951725.326</v>
      </c>
      <c r="AV199" s="190">
        <v>13370072827984.17</v>
      </c>
      <c r="AW199" s="190">
        <v>210955660403776.84</v>
      </c>
      <c r="AX199" s="190">
        <v>1129662577330665.8</v>
      </c>
      <c r="AY199" s="203">
        <v>5</v>
      </c>
      <c r="AZ199" s="239">
        <v>133.5</v>
      </c>
      <c r="BA199" s="203">
        <v>1996</v>
      </c>
      <c r="BB199" s="204">
        <v>39294</v>
      </c>
      <c r="BC199" s="203" t="s">
        <v>1203</v>
      </c>
    </row>
    <row r="200" spans="1:55" x14ac:dyDescent="0.2">
      <c r="A200" s="184" t="s">
        <v>1205</v>
      </c>
      <c r="B200" s="184" t="s">
        <v>1204</v>
      </c>
      <c r="C200" s="184" t="s">
        <v>1052</v>
      </c>
      <c r="D200" s="185" t="s">
        <v>1043</v>
      </c>
      <c r="E200" s="184" t="s">
        <v>1206</v>
      </c>
      <c r="F200" s="184" t="s">
        <v>1206</v>
      </c>
      <c r="G200" s="186">
        <f>IF(ALECA_Input!$F$13="ICAO (3000ft)",'Aircraft Calc'!C$211,'Aircraft Calc'!G$211)</f>
        <v>0.7</v>
      </c>
      <c r="H200" s="186">
        <f>IF(ALECA_Input!$F$13="ICAO (3000ft)",'Aircraft Calc'!D$211,'Aircraft Calc'!H$211)</f>
        <v>2.2000000000000002</v>
      </c>
      <c r="I200" s="186">
        <f>IF(ALECA_Input!$F$13="ICAO (3000ft)",'Aircraft Calc'!E$211,'Aircraft Calc'!I$211)</f>
        <v>4</v>
      </c>
      <c r="J200" s="189">
        <v>1</v>
      </c>
      <c r="K200" s="187">
        <f t="shared" si="37"/>
        <v>254.88</v>
      </c>
      <c r="L200" s="187">
        <f t="shared" si="38"/>
        <v>3.116832</v>
      </c>
      <c r="M200" s="187">
        <f t="shared" si="39"/>
        <v>0.46234800000000004</v>
      </c>
      <c r="N200" s="187">
        <f t="shared" si="40"/>
        <v>2.8930320000000003</v>
      </c>
      <c r="O200" s="187">
        <f t="shared" si="41"/>
        <v>3.9959390825035829E-2</v>
      </c>
      <c r="P200" s="188">
        <f t="shared" si="42"/>
        <v>1.9456867120328308E+16</v>
      </c>
      <c r="Q200" s="187">
        <f t="shared" si="43"/>
        <v>7199.9999999999991</v>
      </c>
      <c r="R200" s="219">
        <f t="shared" si="44"/>
        <v>28.08</v>
      </c>
      <c r="S200" s="219">
        <f t="shared" si="45"/>
        <v>25.919999999999998</v>
      </c>
      <c r="T200" s="219">
        <f t="shared" si="46"/>
        <v>288.71999999999997</v>
      </c>
      <c r="U200" s="219">
        <f t="shared" si="47"/>
        <v>0.66122485749570048</v>
      </c>
      <c r="V200" s="188">
        <f t="shared" si="48"/>
        <v>7507390977558887</v>
      </c>
      <c r="W200" s="323">
        <v>1.1399999999999999</v>
      </c>
      <c r="X200" s="323">
        <v>0.95</v>
      </c>
      <c r="Y200" s="323">
        <v>0.34</v>
      </c>
      <c r="Z200" s="323">
        <v>0.12</v>
      </c>
      <c r="AA200" s="323">
        <v>18.399999999999999</v>
      </c>
      <c r="AB200" s="323">
        <v>13.6</v>
      </c>
      <c r="AC200" s="323">
        <v>6.5</v>
      </c>
      <c r="AD200" s="323">
        <v>3.9</v>
      </c>
      <c r="AE200" s="323">
        <v>0.1</v>
      </c>
      <c r="AF200" s="323">
        <v>0.2</v>
      </c>
      <c r="AG200" s="323">
        <v>5.3</v>
      </c>
      <c r="AH200" s="323">
        <v>3.6</v>
      </c>
      <c r="AI200" s="323">
        <v>1.4</v>
      </c>
      <c r="AJ200" s="323">
        <v>3.6</v>
      </c>
      <c r="AK200" s="323">
        <v>29.1</v>
      </c>
      <c r="AL200" s="323">
        <v>40.1</v>
      </c>
      <c r="AM200" s="323">
        <v>1.875167123398487E-3</v>
      </c>
      <c r="AN200" s="323">
        <v>2.1198158225478507E-3</v>
      </c>
      <c r="AO200" s="323">
        <v>4.1808593017157525E-3</v>
      </c>
      <c r="AP200" s="323">
        <v>2.0664785763291747E-2</v>
      </c>
      <c r="AQ200" s="323">
        <v>6.233516712339849E-2</v>
      </c>
      <c r="AR200" s="323">
        <v>6.6279815822547841E-2</v>
      </c>
      <c r="AS200" s="323">
        <v>0.35126585930171572</v>
      </c>
      <c r="AT200" s="323">
        <v>9.1836785763291739E-2</v>
      </c>
      <c r="AU200" s="190">
        <v>11827027960545.105</v>
      </c>
      <c r="AV200" s="190">
        <v>13370072827984.17</v>
      </c>
      <c r="AW200" s="190">
        <v>210955660403776.84</v>
      </c>
      <c r="AX200" s="190">
        <v>1042693191327623.3</v>
      </c>
      <c r="AY200" s="203">
        <v>3.8</v>
      </c>
      <c r="AZ200" s="239">
        <v>120.1</v>
      </c>
      <c r="BA200" s="203">
        <v>1996</v>
      </c>
      <c r="BB200" s="204">
        <v>39294</v>
      </c>
      <c r="BC200" s="203" t="s">
        <v>1203</v>
      </c>
    </row>
    <row r="201" spans="1:55" x14ac:dyDescent="0.2">
      <c r="A201" s="184" t="s">
        <v>1208</v>
      </c>
      <c r="B201" s="184" t="s">
        <v>1207</v>
      </c>
      <c r="C201" s="184" t="s">
        <v>1052</v>
      </c>
      <c r="D201" s="185" t="s">
        <v>1043</v>
      </c>
      <c r="E201" s="184" t="s">
        <v>1209</v>
      </c>
      <c r="F201" s="184" t="s">
        <v>1209</v>
      </c>
      <c r="G201" s="186">
        <f>IF(ALECA_Input!$F$13="ICAO (3000ft)",'Aircraft Calc'!C$211,'Aircraft Calc'!G$211)</f>
        <v>0.7</v>
      </c>
      <c r="H201" s="186">
        <f>IF(ALECA_Input!$F$13="ICAO (3000ft)",'Aircraft Calc'!D$211,'Aircraft Calc'!H$211)</f>
        <v>2.2000000000000002</v>
      </c>
      <c r="I201" s="186">
        <f>IF(ALECA_Input!$F$13="ICAO (3000ft)",'Aircraft Calc'!E$211,'Aircraft Calc'!I$211)</f>
        <v>4</v>
      </c>
      <c r="J201" s="189">
        <v>1</v>
      </c>
      <c r="K201" s="187">
        <f t="shared" si="37"/>
        <v>222.06000000000003</v>
      </c>
      <c r="L201" s="187">
        <f t="shared" si="38"/>
        <v>2.4019080000000002</v>
      </c>
      <c r="M201" s="187">
        <f t="shared" si="39"/>
        <v>5.9292000000000011E-2</v>
      </c>
      <c r="N201" s="187">
        <f t="shared" si="40"/>
        <v>2.5171020000000004</v>
      </c>
      <c r="O201" s="187">
        <f t="shared" si="41"/>
        <v>2.168878582011351E-2</v>
      </c>
      <c r="P201" s="188">
        <f t="shared" si="42"/>
        <v>3.1865719643996192E+17</v>
      </c>
      <c r="Q201" s="187">
        <f t="shared" si="43"/>
        <v>6600</v>
      </c>
      <c r="R201" s="219">
        <f t="shared" si="44"/>
        <v>23.759999999999998</v>
      </c>
      <c r="S201" s="219">
        <f t="shared" si="45"/>
        <v>30.359999999999996</v>
      </c>
      <c r="T201" s="219">
        <f t="shared" si="46"/>
        <v>295.67999999999995</v>
      </c>
      <c r="U201" s="219">
        <f t="shared" si="47"/>
        <v>0.62610731683190135</v>
      </c>
      <c r="V201" s="188">
        <f t="shared" si="48"/>
        <v>5835414447464322</v>
      </c>
      <c r="W201" s="323">
        <v>0.97</v>
      </c>
      <c r="X201" s="323">
        <v>0.81</v>
      </c>
      <c r="Y201" s="323">
        <v>0.31</v>
      </c>
      <c r="Z201" s="323">
        <v>0.11</v>
      </c>
      <c r="AA201" s="323">
        <v>14.2</v>
      </c>
      <c r="AB201" s="323">
        <v>11</v>
      </c>
      <c r="AC201" s="323">
        <v>8.6999999999999993</v>
      </c>
      <c r="AD201" s="323">
        <v>3.6</v>
      </c>
      <c r="AE201" s="323">
        <v>0.2</v>
      </c>
      <c r="AF201" s="323">
        <v>0.2</v>
      </c>
      <c r="AG201" s="323">
        <v>0.4</v>
      </c>
      <c r="AH201" s="323">
        <v>4.5999999999999996</v>
      </c>
      <c r="AI201" s="323">
        <v>3.1</v>
      </c>
      <c r="AJ201" s="323">
        <v>7.4</v>
      </c>
      <c r="AK201" s="323">
        <v>21.5</v>
      </c>
      <c r="AL201" s="323">
        <v>44.8</v>
      </c>
      <c r="AM201" s="323">
        <v>1.875167123398487E-3</v>
      </c>
      <c r="AN201" s="323">
        <v>2.1198158225478507E-3</v>
      </c>
      <c r="AO201" s="323">
        <v>8.4374720480637627E-2</v>
      </c>
      <c r="AP201" s="323">
        <v>1.7522744974530512E-2</v>
      </c>
      <c r="AQ201" s="323">
        <v>7.3835167123398479E-2</v>
      </c>
      <c r="AR201" s="323">
        <v>6.6279815822547841E-2</v>
      </c>
      <c r="AS201" s="323">
        <v>0.15583472048063762</v>
      </c>
      <c r="AT201" s="323">
        <v>9.4864744974530513E-2</v>
      </c>
      <c r="AU201" s="190">
        <v>11827027960545.105</v>
      </c>
      <c r="AV201" s="190">
        <v>13370072827984.17</v>
      </c>
      <c r="AW201" s="190">
        <v>4257336493737650.5</v>
      </c>
      <c r="AX201" s="190">
        <v>884153704161261</v>
      </c>
      <c r="AY201" s="203">
        <v>3</v>
      </c>
      <c r="AZ201" s="239">
        <v>104.5</v>
      </c>
      <c r="BA201" s="203">
        <v>1996</v>
      </c>
      <c r="BB201" s="204">
        <v>39294</v>
      </c>
      <c r="BC201" s="203" t="s">
        <v>1203</v>
      </c>
    </row>
    <row r="202" spans="1:55" x14ac:dyDescent="0.2">
      <c r="A202" s="184" t="s">
        <v>1211</v>
      </c>
      <c r="B202" s="184" t="s">
        <v>1210</v>
      </c>
      <c r="C202" s="184" t="s">
        <v>1052</v>
      </c>
      <c r="D202" s="185" t="s">
        <v>1043</v>
      </c>
      <c r="E202" s="184" t="s">
        <v>1212</v>
      </c>
      <c r="F202" s="184" t="s">
        <v>1212</v>
      </c>
      <c r="G202" s="186">
        <f>IF(ALECA_Input!$F$13="ICAO (3000ft)",'Aircraft Calc'!C$211,'Aircraft Calc'!G$211)</f>
        <v>0.7</v>
      </c>
      <c r="H202" s="186">
        <f>IF(ALECA_Input!$F$13="ICAO (3000ft)",'Aircraft Calc'!D$211,'Aircraft Calc'!H$211)</f>
        <v>2.2000000000000002</v>
      </c>
      <c r="I202" s="186">
        <f>IF(ALECA_Input!$F$13="ICAO (3000ft)",'Aircraft Calc'!E$211,'Aircraft Calc'!I$211)</f>
        <v>4</v>
      </c>
      <c r="J202" s="189">
        <v>1</v>
      </c>
      <c r="K202" s="187">
        <f t="shared" si="37"/>
        <v>278.952</v>
      </c>
      <c r="L202" s="187">
        <f t="shared" si="38"/>
        <v>4.9961058000000005</v>
      </c>
      <c r="M202" s="187">
        <f t="shared" si="39"/>
        <v>8.6309999999999998E-3</v>
      </c>
      <c r="N202" s="187">
        <f t="shared" si="40"/>
        <v>0.25979688000000001</v>
      </c>
      <c r="O202" s="187">
        <f t="shared" si="41"/>
        <v>3.2385955191010604E-2</v>
      </c>
      <c r="P202" s="188">
        <f t="shared" si="42"/>
        <v>1.7871884133914995E+17</v>
      </c>
      <c r="Q202" s="187">
        <f t="shared" si="43"/>
        <v>6540</v>
      </c>
      <c r="R202" s="219">
        <f t="shared" si="44"/>
        <v>29.103000000000002</v>
      </c>
      <c r="S202" s="219">
        <f t="shared" si="45"/>
        <v>8.9598000000000013</v>
      </c>
      <c r="T202" s="219">
        <f t="shared" si="46"/>
        <v>182.5968</v>
      </c>
      <c r="U202" s="219">
        <f t="shared" si="47"/>
        <v>0.5161805859500358</v>
      </c>
      <c r="V202" s="188">
        <f t="shared" si="48"/>
        <v>7099379739073170</v>
      </c>
      <c r="W202" s="323">
        <v>1.3180000000000001</v>
      </c>
      <c r="X202" s="323">
        <v>1.0629999999999999</v>
      </c>
      <c r="Y202" s="323">
        <v>0.34699999999999998</v>
      </c>
      <c r="Z202" s="323">
        <v>0.109</v>
      </c>
      <c r="AA202" s="323">
        <v>26.18</v>
      </c>
      <c r="AB202" s="323">
        <v>19.77</v>
      </c>
      <c r="AC202" s="323">
        <v>9.2799999999999994</v>
      </c>
      <c r="AD202" s="323">
        <v>4.45</v>
      </c>
      <c r="AE202" s="323">
        <v>0.03</v>
      </c>
      <c r="AF202" s="323">
        <v>0.02</v>
      </c>
      <c r="AG202" s="323">
        <v>0.05</v>
      </c>
      <c r="AH202" s="323">
        <v>1.37</v>
      </c>
      <c r="AI202" s="323">
        <v>0.38</v>
      </c>
      <c r="AJ202" s="323">
        <v>0.2</v>
      </c>
      <c r="AK202" s="323">
        <v>2.5299999999999998</v>
      </c>
      <c r="AL202" s="323">
        <v>27.92</v>
      </c>
      <c r="AM202" s="324">
        <v>8.677216084110155E-2</v>
      </c>
      <c r="AN202" s="324">
        <v>8.4259392949253678E-2</v>
      </c>
      <c r="AO202" s="324">
        <v>1.7575420682313912E-2</v>
      </c>
      <c r="AP202" s="324">
        <v>2.1513795099393822E-2</v>
      </c>
      <c r="AQ202" s="324">
        <v>0.13918216084110155</v>
      </c>
      <c r="AR202" s="324">
        <v>0.13473939294925369</v>
      </c>
      <c r="AS202" s="324">
        <v>6.9347920682313907E-2</v>
      </c>
      <c r="AT202" s="324">
        <v>7.8926695099393845E-2</v>
      </c>
      <c r="AU202" s="319">
        <v>547288164163561.75</v>
      </c>
      <c r="AV202" s="319">
        <v>531439669517717.25</v>
      </c>
      <c r="AW202" s="319">
        <v>886811588084339.5</v>
      </c>
      <c r="AX202" s="319">
        <v>1085532070194674.3</v>
      </c>
      <c r="AY202" s="203">
        <v>5.8</v>
      </c>
      <c r="AZ202" s="239">
        <v>133.4</v>
      </c>
      <c r="BA202" s="203">
        <v>2006</v>
      </c>
      <c r="BB202" s="204">
        <v>39294</v>
      </c>
      <c r="BC202" s="203" t="s">
        <v>1105</v>
      </c>
    </row>
    <row r="203" spans="1:55" x14ac:dyDescent="0.2">
      <c r="A203" s="184" t="s">
        <v>1214</v>
      </c>
      <c r="B203" s="184" t="s">
        <v>1213</v>
      </c>
      <c r="C203" s="184" t="s">
        <v>1052</v>
      </c>
      <c r="D203" s="185" t="s">
        <v>1043</v>
      </c>
      <c r="E203" s="184" t="s">
        <v>1215</v>
      </c>
      <c r="F203" s="184" t="s">
        <v>1215</v>
      </c>
      <c r="G203" s="186">
        <f>IF(ALECA_Input!$F$13="ICAO (3000ft)",'Aircraft Calc'!C$211,'Aircraft Calc'!G$211)</f>
        <v>0.7</v>
      </c>
      <c r="H203" s="186">
        <f>IF(ALECA_Input!$F$13="ICAO (3000ft)",'Aircraft Calc'!D$211,'Aircraft Calc'!H$211)</f>
        <v>2.2000000000000002</v>
      </c>
      <c r="I203" s="186">
        <f>IF(ALECA_Input!$F$13="ICAO (3000ft)",'Aircraft Calc'!E$211,'Aircraft Calc'!I$211)</f>
        <v>4</v>
      </c>
      <c r="J203" s="189">
        <v>1</v>
      </c>
      <c r="K203" s="187">
        <f t="shared" si="37"/>
        <v>290.214</v>
      </c>
      <c r="L203" s="187">
        <f t="shared" si="38"/>
        <v>5.4867848399999994</v>
      </c>
      <c r="M203" s="187">
        <f t="shared" si="39"/>
        <v>9.5452799999999997E-3</v>
      </c>
      <c r="N203" s="187">
        <f t="shared" si="40"/>
        <v>0.25997861999999999</v>
      </c>
      <c r="O203" s="187">
        <f t="shared" si="41"/>
        <v>3.4204190549958977E-2</v>
      </c>
      <c r="P203" s="188">
        <f t="shared" si="42"/>
        <v>1.887019988624121E+17</v>
      </c>
      <c r="Q203" s="187">
        <f t="shared" si="43"/>
        <v>6660</v>
      </c>
      <c r="R203" s="219">
        <f t="shared" si="44"/>
        <v>30.169800000000002</v>
      </c>
      <c r="S203" s="219">
        <f t="shared" si="45"/>
        <v>8.1251999999999995</v>
      </c>
      <c r="T203" s="219">
        <f t="shared" si="46"/>
        <v>177.95519999999999</v>
      </c>
      <c r="U203" s="219">
        <f t="shared" si="47"/>
        <v>0.5194879593619629</v>
      </c>
      <c r="V203" s="188">
        <f t="shared" si="48"/>
        <v>7229643587496531</v>
      </c>
      <c r="W203" s="323">
        <v>1.385</v>
      </c>
      <c r="X203" s="323">
        <v>1.107</v>
      </c>
      <c r="Y203" s="323">
        <v>0.35799999999999998</v>
      </c>
      <c r="Z203" s="323">
        <v>0.111</v>
      </c>
      <c r="AA203" s="323">
        <v>28.26</v>
      </c>
      <c r="AB203" s="323">
        <v>20.76</v>
      </c>
      <c r="AC203" s="323">
        <v>9.42</v>
      </c>
      <c r="AD203" s="323">
        <v>4.53</v>
      </c>
      <c r="AE203" s="323">
        <v>0.04</v>
      </c>
      <c r="AF203" s="323">
        <v>0.02</v>
      </c>
      <c r="AG203" s="323">
        <v>0.05</v>
      </c>
      <c r="AH203" s="323">
        <v>1.22</v>
      </c>
      <c r="AI203" s="323">
        <v>0.45</v>
      </c>
      <c r="AJ203" s="323">
        <v>0.23</v>
      </c>
      <c r="AK203" s="323">
        <v>2.33</v>
      </c>
      <c r="AL203" s="323">
        <v>26.72</v>
      </c>
      <c r="AM203" s="323">
        <v>9.0631593007091713E-2</v>
      </c>
      <c r="AN203" s="323">
        <v>8.533743450126971E-2</v>
      </c>
      <c r="AO203" s="323">
        <v>1.7715148809042278E-2</v>
      </c>
      <c r="AP203" s="323">
        <v>2.1513795099393822E-2</v>
      </c>
      <c r="AQ203" s="323">
        <v>0.14419159300709172</v>
      </c>
      <c r="AR203" s="323">
        <v>0.13581743450126973</v>
      </c>
      <c r="AS203" s="323">
        <v>6.9487648809042263E-2</v>
      </c>
      <c r="AT203" s="323">
        <v>7.8001195099393822E-2</v>
      </c>
      <c r="AU203" s="190">
        <v>571630320960907.13</v>
      </c>
      <c r="AV203" s="190">
        <v>538239078178005.19</v>
      </c>
      <c r="AW203" s="190">
        <v>893861918440797.25</v>
      </c>
      <c r="AX203" s="190">
        <v>1085532070194674.3</v>
      </c>
      <c r="AY203" s="203">
        <v>6.3</v>
      </c>
      <c r="AZ203" s="239">
        <v>137.9</v>
      </c>
      <c r="BA203" s="203">
        <v>2006</v>
      </c>
      <c r="BB203" s="204">
        <v>39294</v>
      </c>
      <c r="BC203" s="203" t="s">
        <v>1105</v>
      </c>
    </row>
    <row r="204" spans="1:55" x14ac:dyDescent="0.2">
      <c r="A204" s="184" t="s">
        <v>1217</v>
      </c>
      <c r="B204" s="184" t="s">
        <v>1216</v>
      </c>
      <c r="C204" s="184" t="s">
        <v>1052</v>
      </c>
      <c r="D204" s="185" t="s">
        <v>1043</v>
      </c>
      <c r="E204" s="184" t="s">
        <v>1218</v>
      </c>
      <c r="F204" s="184" t="s">
        <v>1219</v>
      </c>
      <c r="G204" s="186">
        <f>IF(ALECA_Input!$F$13="ICAO (3000ft)",'Aircraft Calc'!C$211,'Aircraft Calc'!G$211)</f>
        <v>0.7</v>
      </c>
      <c r="H204" s="186">
        <f>IF(ALECA_Input!$F$13="ICAO (3000ft)",'Aircraft Calc'!D$211,'Aircraft Calc'!H$211)</f>
        <v>2.2000000000000002</v>
      </c>
      <c r="I204" s="186">
        <f>IF(ALECA_Input!$F$13="ICAO (3000ft)",'Aircraft Calc'!E$211,'Aircraft Calc'!I$211)</f>
        <v>4</v>
      </c>
      <c r="J204" s="189">
        <v>1</v>
      </c>
      <c r="K204" s="187">
        <f t="shared" si="37"/>
        <v>291.35400000000004</v>
      </c>
      <c r="L204" s="187">
        <f t="shared" si="38"/>
        <v>6.9430410000000009</v>
      </c>
      <c r="M204" s="187">
        <f t="shared" si="39"/>
        <v>3.0882600000000003E-2</v>
      </c>
      <c r="N204" s="187">
        <f t="shared" si="40"/>
        <v>0.23915220000000001</v>
      </c>
      <c r="O204" s="187">
        <f t="shared" si="41"/>
        <v>3.0288426514049529E-2</v>
      </c>
      <c r="P204" s="188">
        <f t="shared" si="42"/>
        <v>9.6395260990380432E+16</v>
      </c>
      <c r="Q204" s="187">
        <f t="shared" si="43"/>
        <v>7020.0000000000009</v>
      </c>
      <c r="R204" s="219">
        <f t="shared" si="44"/>
        <v>32.292000000000009</v>
      </c>
      <c r="S204" s="219">
        <f t="shared" si="45"/>
        <v>22.534200000000002</v>
      </c>
      <c r="T204" s="219">
        <f t="shared" si="46"/>
        <v>199.36800000000002</v>
      </c>
      <c r="U204" s="219">
        <f t="shared" si="47"/>
        <v>0.5064585968303037</v>
      </c>
      <c r="V204" s="188">
        <f t="shared" si="48"/>
        <v>1197022317858084.5</v>
      </c>
      <c r="W204" s="323">
        <v>1.359</v>
      </c>
      <c r="X204" s="323">
        <v>1.113</v>
      </c>
      <c r="Y204" s="323">
        <v>0.36399999999999999</v>
      </c>
      <c r="Z204" s="323">
        <v>0.11700000000000001</v>
      </c>
      <c r="AA204" s="323">
        <v>35.1</v>
      </c>
      <c r="AB204" s="323">
        <v>27.2</v>
      </c>
      <c r="AC204" s="323">
        <v>10.8</v>
      </c>
      <c r="AD204" s="323">
        <v>4.6000000000000005</v>
      </c>
      <c r="AE204" s="323">
        <v>0.1</v>
      </c>
      <c r="AF204" s="323">
        <v>0.1</v>
      </c>
      <c r="AG204" s="323">
        <v>0.12</v>
      </c>
      <c r="AH204" s="323">
        <v>3.21</v>
      </c>
      <c r="AI204" s="323">
        <v>0.5</v>
      </c>
      <c r="AJ204" s="323">
        <v>0.5</v>
      </c>
      <c r="AK204" s="323">
        <v>1.57</v>
      </c>
      <c r="AL204" s="323">
        <v>28.400000000000002</v>
      </c>
      <c r="AM204" s="323">
        <v>5.3996570807975611E-2</v>
      </c>
      <c r="AN204" s="323">
        <v>7.0430190028602679E-2</v>
      </c>
      <c r="AO204" s="323">
        <v>2.6529075919150928E-3</v>
      </c>
      <c r="AP204" s="323">
        <v>3.3793992635760151E-3</v>
      </c>
      <c r="AQ204" s="323">
        <v>0.11445657080797561</v>
      </c>
      <c r="AR204" s="323">
        <v>0.12699019002860268</v>
      </c>
      <c r="AS204" s="323">
        <v>5.8362907591915092E-2</v>
      </c>
      <c r="AT204" s="323">
        <v>7.2145099263576026E-2</v>
      </c>
      <c r="AU204" s="190">
        <v>340566419254445.25</v>
      </c>
      <c r="AV204" s="190">
        <v>444216313490568</v>
      </c>
      <c r="AW204" s="190">
        <v>133859054480253.08</v>
      </c>
      <c r="AX204" s="190">
        <v>170515999694883.81</v>
      </c>
      <c r="AY204" s="203">
        <v>7.8</v>
      </c>
      <c r="AZ204" s="239">
        <v>133.44999999999999</v>
      </c>
      <c r="BA204" s="203">
        <v>1992</v>
      </c>
      <c r="BB204" s="204">
        <v>39294</v>
      </c>
      <c r="BC204" s="203" t="s">
        <v>3087</v>
      </c>
    </row>
    <row r="205" spans="1:55" x14ac:dyDescent="0.2">
      <c r="A205" s="184" t="s">
        <v>1221</v>
      </c>
      <c r="B205" s="184" t="s">
        <v>1220</v>
      </c>
      <c r="C205" s="184" t="s">
        <v>1052</v>
      </c>
      <c r="D205" s="185" t="s">
        <v>1043</v>
      </c>
      <c r="E205" s="184" t="s">
        <v>1222</v>
      </c>
      <c r="F205" s="184" t="s">
        <v>1223</v>
      </c>
      <c r="G205" s="186">
        <f>IF(ALECA_Input!$F$13="ICAO (3000ft)",'Aircraft Calc'!C$211,'Aircraft Calc'!G$211)</f>
        <v>0.7</v>
      </c>
      <c r="H205" s="186">
        <f>IF(ALECA_Input!$F$13="ICAO (3000ft)",'Aircraft Calc'!D$211,'Aircraft Calc'!H$211)</f>
        <v>2.2000000000000002</v>
      </c>
      <c r="I205" s="186">
        <f>IF(ALECA_Input!$F$13="ICAO (3000ft)",'Aircraft Calc'!E$211,'Aircraft Calc'!I$211)</f>
        <v>4</v>
      </c>
      <c r="J205" s="189">
        <v>1</v>
      </c>
      <c r="K205" s="187">
        <f t="shared" si="37"/>
        <v>302.988</v>
      </c>
      <c r="L205" s="187">
        <f t="shared" si="38"/>
        <v>7.6129536</v>
      </c>
      <c r="M205" s="187">
        <f t="shared" si="39"/>
        <v>3.2103600000000003E-2</v>
      </c>
      <c r="N205" s="187">
        <f t="shared" si="40"/>
        <v>0.23270999999999997</v>
      </c>
      <c r="O205" s="187">
        <f t="shared" si="41"/>
        <v>3.1117421352838338E-2</v>
      </c>
      <c r="P205" s="188">
        <f t="shared" si="42"/>
        <v>9.7757183131434192E+16</v>
      </c>
      <c r="Q205" s="187">
        <f t="shared" si="43"/>
        <v>7140</v>
      </c>
      <c r="R205" s="219">
        <f t="shared" si="44"/>
        <v>33.558</v>
      </c>
      <c r="S205" s="219">
        <f t="shared" si="45"/>
        <v>21.7056</v>
      </c>
      <c r="T205" s="219">
        <f t="shared" si="46"/>
        <v>195.636</v>
      </c>
      <c r="U205" s="219">
        <f t="shared" si="47"/>
        <v>0.50762686274193281</v>
      </c>
      <c r="V205" s="188">
        <f t="shared" si="48"/>
        <v>1217484237821470.3</v>
      </c>
      <c r="W205" s="323">
        <v>1.4259999999999999</v>
      </c>
      <c r="X205" s="323">
        <v>1.1579999999999999</v>
      </c>
      <c r="Y205" s="323">
        <v>0.376</v>
      </c>
      <c r="Z205" s="323">
        <v>0.11899999999999999</v>
      </c>
      <c r="AA205" s="323">
        <v>37.800000000000004</v>
      </c>
      <c r="AB205" s="323">
        <v>28.5</v>
      </c>
      <c r="AC205" s="323">
        <v>11</v>
      </c>
      <c r="AD205" s="323">
        <v>4.7</v>
      </c>
      <c r="AE205" s="323">
        <v>0.1</v>
      </c>
      <c r="AF205" s="323">
        <v>0.1</v>
      </c>
      <c r="AG205" s="323">
        <v>0.12</v>
      </c>
      <c r="AH205" s="323">
        <v>3.04</v>
      </c>
      <c r="AI205" s="323">
        <v>0.5</v>
      </c>
      <c r="AJ205" s="323">
        <v>0.5</v>
      </c>
      <c r="AK205" s="323">
        <v>1.4000000000000001</v>
      </c>
      <c r="AL205" s="323">
        <v>27.400000000000002</v>
      </c>
      <c r="AM205" s="323">
        <v>5.2355946203929402E-2</v>
      </c>
      <c r="AN205" s="323">
        <v>6.835482128080142E-2</v>
      </c>
      <c r="AO205" s="323">
        <v>2.6529075919150928E-3</v>
      </c>
      <c r="AP205" s="323">
        <v>3.3793992635760151E-3</v>
      </c>
      <c r="AQ205" s="323">
        <v>0.1128159462039294</v>
      </c>
      <c r="AR205" s="323">
        <v>0.12491482128080143</v>
      </c>
      <c r="AS205" s="323">
        <v>5.8362907591915092E-2</v>
      </c>
      <c r="AT205" s="323">
        <v>7.1096199263576021E-2</v>
      </c>
      <c r="AU205" s="190">
        <v>330218694604897.06</v>
      </c>
      <c r="AV205" s="190">
        <v>431126576633299.75</v>
      </c>
      <c r="AW205" s="190">
        <v>133859054480253.08</v>
      </c>
      <c r="AX205" s="190">
        <v>170515999694883.81</v>
      </c>
      <c r="AY205" s="203">
        <v>8.5</v>
      </c>
      <c r="AZ205" s="239">
        <v>137.9</v>
      </c>
      <c r="BA205" s="203">
        <v>1992</v>
      </c>
      <c r="BB205" s="204">
        <v>39294</v>
      </c>
      <c r="BC205" s="203" t="s">
        <v>3087</v>
      </c>
    </row>
    <row r="206" spans="1:55" x14ac:dyDescent="0.2">
      <c r="A206" s="184" t="s">
        <v>1225</v>
      </c>
      <c r="B206" s="184" t="s">
        <v>1224</v>
      </c>
      <c r="C206" s="184" t="s">
        <v>1052</v>
      </c>
      <c r="D206" s="185" t="s">
        <v>1043</v>
      </c>
      <c r="E206" s="184" t="s">
        <v>1226</v>
      </c>
      <c r="F206" s="184" t="s">
        <v>1226</v>
      </c>
      <c r="G206" s="186">
        <f>IF(ALECA_Input!$F$13="ICAO (3000ft)",'Aircraft Calc'!C$211,'Aircraft Calc'!G$211)</f>
        <v>0.7</v>
      </c>
      <c r="H206" s="186">
        <f>IF(ALECA_Input!$F$13="ICAO (3000ft)",'Aircraft Calc'!D$211,'Aircraft Calc'!H$211)</f>
        <v>2.2000000000000002</v>
      </c>
      <c r="I206" s="186">
        <f>IF(ALECA_Input!$F$13="ICAO (3000ft)",'Aircraft Calc'!E$211,'Aircraft Calc'!I$211)</f>
        <v>4</v>
      </c>
      <c r="J206" s="189">
        <v>1</v>
      </c>
      <c r="K206" s="187">
        <f t="shared" si="37"/>
        <v>309.53999999999996</v>
      </c>
      <c r="L206" s="187">
        <f t="shared" si="38"/>
        <v>5.5479599999999998</v>
      </c>
      <c r="M206" s="187">
        <f t="shared" si="39"/>
        <v>0.29975399999999996</v>
      </c>
      <c r="N206" s="187">
        <f t="shared" si="40"/>
        <v>2.1447839999999996</v>
      </c>
      <c r="O206" s="187">
        <f t="shared" si="41"/>
        <v>3.3543257662884039E-2</v>
      </c>
      <c r="P206" s="188">
        <f t="shared" si="42"/>
        <v>2.3172770110870096E+16</v>
      </c>
      <c r="Q206" s="187">
        <f t="shared" si="43"/>
        <v>7800.0000000000009</v>
      </c>
      <c r="R206" s="219">
        <f t="shared" si="44"/>
        <v>33.54</v>
      </c>
      <c r="S206" s="219">
        <f t="shared" si="45"/>
        <v>19.5</v>
      </c>
      <c r="T206" s="219">
        <f t="shared" si="46"/>
        <v>269.10000000000002</v>
      </c>
      <c r="U206" s="219">
        <f t="shared" si="47"/>
        <v>0.7061031478128158</v>
      </c>
      <c r="V206" s="188">
        <f t="shared" si="48"/>
        <v>1.0288289376451416E+16</v>
      </c>
      <c r="W206" s="323">
        <v>1.47</v>
      </c>
      <c r="X206" s="323">
        <v>1.1499999999999999</v>
      </c>
      <c r="Y206" s="323">
        <v>0.4</v>
      </c>
      <c r="Z206" s="323">
        <v>0.13</v>
      </c>
      <c r="AA206" s="323">
        <v>32</v>
      </c>
      <c r="AB206" s="323">
        <v>18.600000000000001</v>
      </c>
      <c r="AC206" s="323">
        <v>7.8</v>
      </c>
      <c r="AD206" s="323">
        <v>4.3</v>
      </c>
      <c r="AE206" s="323">
        <v>0.1</v>
      </c>
      <c r="AF206" s="323">
        <v>0.1</v>
      </c>
      <c r="AG206" s="323">
        <v>2.9</v>
      </c>
      <c r="AH206" s="323">
        <v>2.5</v>
      </c>
      <c r="AI206" s="323">
        <v>0.6</v>
      </c>
      <c r="AJ206" s="323">
        <v>1.3</v>
      </c>
      <c r="AK206" s="323">
        <v>19.899999999999999</v>
      </c>
      <c r="AL206" s="323">
        <v>34.5</v>
      </c>
      <c r="AM206" s="323">
        <v>2.2892570141976229E-3</v>
      </c>
      <c r="AN206" s="323">
        <v>2.1198158225478507E-3</v>
      </c>
      <c r="AO206" s="323">
        <v>4.1808593017157525E-3</v>
      </c>
      <c r="AP206" s="323">
        <v>2.6141044591386636E-2</v>
      </c>
      <c r="AQ206" s="323">
        <v>6.2749257014197618E-2</v>
      </c>
      <c r="AR206" s="323">
        <v>5.8679815822547859E-2</v>
      </c>
      <c r="AS206" s="323">
        <v>0.21626585930171574</v>
      </c>
      <c r="AT206" s="323">
        <v>9.0526044591386634E-2</v>
      </c>
      <c r="AU206" s="190">
        <v>14438769951725.326</v>
      </c>
      <c r="AV206" s="190">
        <v>13370072827984.17</v>
      </c>
      <c r="AW206" s="190">
        <v>210955660403776.84</v>
      </c>
      <c r="AX206" s="190">
        <v>1319011458519412.3</v>
      </c>
      <c r="AY206" s="203">
        <v>6.4</v>
      </c>
      <c r="AZ206" s="239">
        <v>142.4</v>
      </c>
      <c r="BA206" s="203">
        <v>1996</v>
      </c>
      <c r="BB206" s="204">
        <v>36899</v>
      </c>
      <c r="BC206" s="203" t="s">
        <v>1203</v>
      </c>
    </row>
    <row r="207" spans="1:55" x14ac:dyDescent="0.2">
      <c r="A207" s="184" t="s">
        <v>1228</v>
      </c>
      <c r="B207" s="184" t="s">
        <v>1227</v>
      </c>
      <c r="C207" s="184" t="s">
        <v>1052</v>
      </c>
      <c r="D207" s="185" t="s">
        <v>1043</v>
      </c>
      <c r="E207" s="184" t="s">
        <v>1229</v>
      </c>
      <c r="F207" s="184" t="s">
        <v>1230</v>
      </c>
      <c r="G207" s="186">
        <f>IF(ALECA_Input!$F$13="ICAO (3000ft)",'Aircraft Calc'!C$211,'Aircraft Calc'!G$211)</f>
        <v>0.7</v>
      </c>
      <c r="H207" s="186">
        <f>IF(ALECA_Input!$F$13="ICAO (3000ft)",'Aircraft Calc'!D$211,'Aircraft Calc'!H$211)</f>
        <v>2.2000000000000002</v>
      </c>
      <c r="I207" s="186">
        <f>IF(ALECA_Input!$F$13="ICAO (3000ft)",'Aircraft Calc'!E$211,'Aircraft Calc'!I$211)</f>
        <v>4</v>
      </c>
      <c r="J207" s="189">
        <v>1</v>
      </c>
      <c r="K207" s="187">
        <f t="shared" si="37"/>
        <v>254.06400000000002</v>
      </c>
      <c r="L207" s="187">
        <f t="shared" si="38"/>
        <v>5.1435480000000009</v>
      </c>
      <c r="M207" s="187">
        <f t="shared" si="39"/>
        <v>2.77536E-2</v>
      </c>
      <c r="N207" s="187">
        <f t="shared" si="40"/>
        <v>0.27021120000000004</v>
      </c>
      <c r="O207" s="187">
        <f t="shared" si="41"/>
        <v>2.7456792566486327E-2</v>
      </c>
      <c r="P207" s="188">
        <f t="shared" si="42"/>
        <v>9.0642969997807248E+16</v>
      </c>
      <c r="Q207" s="187">
        <f t="shared" si="43"/>
        <v>6420</v>
      </c>
      <c r="R207" s="219">
        <f t="shared" si="44"/>
        <v>27.605999999999998</v>
      </c>
      <c r="S207" s="219">
        <f t="shared" si="45"/>
        <v>24.845400000000001</v>
      </c>
      <c r="T207" s="219">
        <f t="shared" si="46"/>
        <v>204.798</v>
      </c>
      <c r="U207" s="219">
        <f t="shared" si="47"/>
        <v>0.48931506127215807</v>
      </c>
      <c r="V207" s="188">
        <f t="shared" si="48"/>
        <v>1094712718041154.1</v>
      </c>
      <c r="W207" s="323">
        <v>1.1659999999999999</v>
      </c>
      <c r="X207" s="323">
        <v>0.96099999999999997</v>
      </c>
      <c r="Y207" s="323">
        <v>0.32600000000000001</v>
      </c>
      <c r="Z207" s="323">
        <v>0.107</v>
      </c>
      <c r="AA207" s="323">
        <v>28.7</v>
      </c>
      <c r="AB207" s="323">
        <v>23.3</v>
      </c>
      <c r="AC207" s="323">
        <v>10</v>
      </c>
      <c r="AD207" s="323">
        <v>4.3</v>
      </c>
      <c r="AE207" s="323">
        <v>0.1</v>
      </c>
      <c r="AF207" s="323">
        <v>0.1</v>
      </c>
      <c r="AG207" s="323">
        <v>0.13</v>
      </c>
      <c r="AH207" s="323">
        <v>3.87</v>
      </c>
      <c r="AI207" s="323">
        <v>0.5</v>
      </c>
      <c r="AJ207" s="323">
        <v>0.5</v>
      </c>
      <c r="AK207" s="323">
        <v>2.33</v>
      </c>
      <c r="AL207" s="323">
        <v>31.900000000000002</v>
      </c>
      <c r="AM207" s="323">
        <v>6.001504800387681E-2</v>
      </c>
      <c r="AN207" s="323">
        <v>7.703320015174403E-2</v>
      </c>
      <c r="AO207" s="323">
        <v>2.6529075919150928E-3</v>
      </c>
      <c r="AP207" s="323">
        <v>3.3793992635760151E-3</v>
      </c>
      <c r="AQ207" s="323">
        <v>0.12047504800387682</v>
      </c>
      <c r="AR207" s="323">
        <v>0.13359320015174403</v>
      </c>
      <c r="AS207" s="323">
        <v>5.8925407591915099E-2</v>
      </c>
      <c r="AT207" s="323">
        <v>7.6217299263576024E-2</v>
      </c>
      <c r="AU207" s="190">
        <v>378526074790012.19</v>
      </c>
      <c r="AV207" s="190">
        <v>485862726962568.56</v>
      </c>
      <c r="AW207" s="190">
        <v>133859054480253.08</v>
      </c>
      <c r="AX207" s="190">
        <v>170515999694883.81</v>
      </c>
      <c r="AY207" s="203">
        <v>5.9</v>
      </c>
      <c r="AZ207" s="239">
        <v>117.9</v>
      </c>
      <c r="BA207" s="203">
        <v>1992</v>
      </c>
      <c r="BB207" s="204">
        <v>39294</v>
      </c>
      <c r="BC207" s="203" t="s">
        <v>3087</v>
      </c>
    </row>
    <row r="208" spans="1:55" x14ac:dyDescent="0.2">
      <c r="A208" s="184" t="s">
        <v>655</v>
      </c>
      <c r="B208" s="184" t="s">
        <v>1231</v>
      </c>
      <c r="C208" s="184" t="s">
        <v>1052</v>
      </c>
      <c r="D208" s="185" t="s">
        <v>1043</v>
      </c>
      <c r="E208" s="184" t="s">
        <v>1232</v>
      </c>
      <c r="F208" s="184" t="s">
        <v>1232</v>
      </c>
      <c r="G208" s="186">
        <f>IF(ALECA_Input!$F$13="ICAO (3000ft)",'Aircraft Calc'!C$211,'Aircraft Calc'!G$211)</f>
        <v>0.7</v>
      </c>
      <c r="H208" s="186">
        <f>IF(ALECA_Input!$F$13="ICAO (3000ft)",'Aircraft Calc'!D$211,'Aircraft Calc'!H$211)</f>
        <v>2.2000000000000002</v>
      </c>
      <c r="I208" s="186">
        <f>IF(ALECA_Input!$F$13="ICAO (3000ft)",'Aircraft Calc'!E$211,'Aircraft Calc'!I$211)</f>
        <v>4</v>
      </c>
      <c r="J208" s="189">
        <v>1</v>
      </c>
      <c r="K208" s="187">
        <f t="shared" si="37"/>
        <v>276.846</v>
      </c>
      <c r="L208" s="187">
        <f t="shared" si="38"/>
        <v>6.3398172000000006</v>
      </c>
      <c r="M208" s="187">
        <f t="shared" si="39"/>
        <v>7.4770200000000009E-2</v>
      </c>
      <c r="N208" s="187">
        <f t="shared" si="40"/>
        <v>0.34024139999999997</v>
      </c>
      <c r="O208" s="187">
        <f t="shared" si="41"/>
        <v>2.7496021021156097E-2</v>
      </c>
      <c r="P208" s="188">
        <f t="shared" si="42"/>
        <v>9.9051211590047392E+16</v>
      </c>
      <c r="Q208" s="187">
        <f t="shared" si="43"/>
        <v>6600</v>
      </c>
      <c r="R208" s="219">
        <f t="shared" si="44"/>
        <v>29.7</v>
      </c>
      <c r="S208" s="219">
        <f t="shared" si="45"/>
        <v>24.419999999999998</v>
      </c>
      <c r="T208" s="219">
        <f t="shared" si="46"/>
        <v>130.68</v>
      </c>
      <c r="U208" s="219">
        <f t="shared" si="47"/>
        <v>0.57302313929149484</v>
      </c>
      <c r="V208" s="188">
        <f t="shared" si="48"/>
        <v>5006177030663741</v>
      </c>
      <c r="W208" s="323">
        <v>1.2949999999999999</v>
      </c>
      <c r="X208" s="323">
        <v>1.0580000000000001</v>
      </c>
      <c r="Y208" s="323">
        <v>0.34499999999999997</v>
      </c>
      <c r="Z208" s="323">
        <v>0.11</v>
      </c>
      <c r="AA208" s="323">
        <v>33</v>
      </c>
      <c r="AB208" s="323">
        <v>26.2</v>
      </c>
      <c r="AC208" s="323">
        <v>10.7</v>
      </c>
      <c r="AD208" s="323">
        <v>4.5</v>
      </c>
      <c r="AE208" s="323">
        <v>0.1</v>
      </c>
      <c r="AF208" s="323">
        <v>0.2</v>
      </c>
      <c r="AG208" s="323">
        <v>0.5</v>
      </c>
      <c r="AH208" s="323">
        <v>3.7</v>
      </c>
      <c r="AI208" s="323">
        <v>0.9</v>
      </c>
      <c r="AJ208" s="323">
        <v>0.9</v>
      </c>
      <c r="AK208" s="323">
        <v>2</v>
      </c>
      <c r="AL208" s="323">
        <v>19.8</v>
      </c>
      <c r="AM208" s="323">
        <v>3.9794503340500303E-2</v>
      </c>
      <c r="AN208" s="323">
        <v>4.0979892196937484E-2</v>
      </c>
      <c r="AO208" s="323">
        <v>1.1801012075009476E-2</v>
      </c>
      <c r="AP208" s="323">
        <v>1.5032687771438617E-2</v>
      </c>
      <c r="AQ208" s="323">
        <v>0.1002545033405003</v>
      </c>
      <c r="AR208" s="323">
        <v>0.10513989219693748</v>
      </c>
      <c r="AS208" s="323">
        <v>8.8886012075009457E-2</v>
      </c>
      <c r="AT208" s="323">
        <v>8.6821687771438616E-2</v>
      </c>
      <c r="AU208" s="190">
        <v>250991337151385.13</v>
      </c>
      <c r="AV208" s="190">
        <v>258467805234823.22</v>
      </c>
      <c r="AW208" s="190">
        <v>595449431817742.5</v>
      </c>
      <c r="AX208" s="190">
        <v>758511671312688.13</v>
      </c>
      <c r="AY208" s="203">
        <v>7.1</v>
      </c>
      <c r="AZ208" s="239">
        <v>133.44999999999999</v>
      </c>
      <c r="BA208" s="203">
        <v>1995</v>
      </c>
      <c r="BB208" s="204">
        <v>35864</v>
      </c>
      <c r="BC208" s="203" t="s">
        <v>1109</v>
      </c>
    </row>
    <row r="209" spans="1:55" x14ac:dyDescent="0.2">
      <c r="A209" s="184" t="s">
        <v>1234</v>
      </c>
      <c r="B209" s="184" t="s">
        <v>1233</v>
      </c>
      <c r="C209" s="184" t="s">
        <v>1052</v>
      </c>
      <c r="D209" s="185" t="s">
        <v>1043</v>
      </c>
      <c r="E209" s="184" t="s">
        <v>1235</v>
      </c>
      <c r="F209" s="184" t="s">
        <v>1235</v>
      </c>
      <c r="G209" s="186">
        <f>IF(ALECA_Input!$F$13="ICAO (3000ft)",'Aircraft Calc'!C$211,'Aircraft Calc'!G$211)</f>
        <v>0.7</v>
      </c>
      <c r="H209" s="186">
        <f>IF(ALECA_Input!$F$13="ICAO (3000ft)",'Aircraft Calc'!D$211,'Aircraft Calc'!H$211)</f>
        <v>2.2000000000000002</v>
      </c>
      <c r="I209" s="186">
        <f>IF(ALECA_Input!$F$13="ICAO (3000ft)",'Aircraft Calc'!E$211,'Aircraft Calc'!I$211)</f>
        <v>4</v>
      </c>
      <c r="J209" s="189">
        <v>1</v>
      </c>
      <c r="K209" s="187">
        <f t="shared" si="37"/>
        <v>287.67</v>
      </c>
      <c r="L209" s="187">
        <f t="shared" si="38"/>
        <v>6.9125454</v>
      </c>
      <c r="M209" s="187">
        <f t="shared" si="39"/>
        <v>7.7449800000000013E-2</v>
      </c>
      <c r="N209" s="187">
        <f t="shared" si="40"/>
        <v>0.33862680000000001</v>
      </c>
      <c r="O209" s="187">
        <f t="shared" si="41"/>
        <v>2.857760267286381E-2</v>
      </c>
      <c r="P209" s="188">
        <f t="shared" si="42"/>
        <v>1.0271777383856074E+17</v>
      </c>
      <c r="Q209" s="187">
        <f t="shared" si="43"/>
        <v>6780</v>
      </c>
      <c r="R209" s="219">
        <f t="shared" si="44"/>
        <v>31.187999999999999</v>
      </c>
      <c r="S209" s="219">
        <f t="shared" si="45"/>
        <v>24.408000000000001</v>
      </c>
      <c r="T209" s="219">
        <f t="shared" si="46"/>
        <v>132.21</v>
      </c>
      <c r="U209" s="219">
        <f t="shared" si="47"/>
        <v>0.58446778309035397</v>
      </c>
      <c r="V209" s="188">
        <f t="shared" si="48"/>
        <v>5142709131500026</v>
      </c>
      <c r="W209" s="323">
        <v>1.361</v>
      </c>
      <c r="X209" s="323">
        <v>1.099</v>
      </c>
      <c r="Y209" s="323">
        <v>0.35599999999999998</v>
      </c>
      <c r="Z209" s="323">
        <v>0.113</v>
      </c>
      <c r="AA209" s="323">
        <v>35.1</v>
      </c>
      <c r="AB209" s="323">
        <v>27.4</v>
      </c>
      <c r="AC209" s="323">
        <v>10.9</v>
      </c>
      <c r="AD209" s="323">
        <v>4.5999999999999996</v>
      </c>
      <c r="AE209" s="323">
        <v>0.1</v>
      </c>
      <c r="AF209" s="323">
        <v>0.2</v>
      </c>
      <c r="AG209" s="323">
        <v>0.5</v>
      </c>
      <c r="AH209" s="323">
        <v>3.6</v>
      </c>
      <c r="AI209" s="323">
        <v>0.8</v>
      </c>
      <c r="AJ209" s="323">
        <v>0.9</v>
      </c>
      <c r="AK209" s="323">
        <v>1.9</v>
      </c>
      <c r="AL209" s="323">
        <v>19.5</v>
      </c>
      <c r="AM209" s="323">
        <v>3.9794503340500303E-2</v>
      </c>
      <c r="AN209" s="323">
        <v>4.0979892196937484E-2</v>
      </c>
      <c r="AO209" s="323">
        <v>1.1801012075009476E-2</v>
      </c>
      <c r="AP209" s="323">
        <v>1.5032687771438617E-2</v>
      </c>
      <c r="AQ209" s="323">
        <v>0.1002545033405003</v>
      </c>
      <c r="AR209" s="323">
        <v>0.10513989219693748</v>
      </c>
      <c r="AS209" s="323">
        <v>8.8886012075009457E-2</v>
      </c>
      <c r="AT209" s="323">
        <v>8.6204687771438637E-2</v>
      </c>
      <c r="AU209" s="190">
        <v>250991337151385.13</v>
      </c>
      <c r="AV209" s="190">
        <v>258467805234823.22</v>
      </c>
      <c r="AW209" s="190">
        <v>595449431817742.5</v>
      </c>
      <c r="AX209" s="190">
        <v>758511671312688.13</v>
      </c>
      <c r="AY209" s="203">
        <v>7.7</v>
      </c>
      <c r="AZ209" s="239">
        <v>137.9</v>
      </c>
      <c r="BA209" s="203">
        <v>1995</v>
      </c>
      <c r="BB209" s="204">
        <v>35864</v>
      </c>
      <c r="BC209" s="203" t="s">
        <v>1109</v>
      </c>
    </row>
    <row r="210" spans="1:55" x14ac:dyDescent="0.2">
      <c r="A210" s="184" t="s">
        <v>1237</v>
      </c>
      <c r="B210" s="184" t="s">
        <v>1236</v>
      </c>
      <c r="C210" s="184" t="s">
        <v>1052</v>
      </c>
      <c r="D210" s="185" t="s">
        <v>1043</v>
      </c>
      <c r="E210" s="184" t="s">
        <v>1238</v>
      </c>
      <c r="F210" s="184" t="s">
        <v>1238</v>
      </c>
      <c r="G210" s="186">
        <f>IF(ALECA_Input!$F$13="ICAO (3000ft)",'Aircraft Calc'!C$211,'Aircraft Calc'!G$211)</f>
        <v>0.7</v>
      </c>
      <c r="H210" s="186">
        <f>IF(ALECA_Input!$F$13="ICAO (3000ft)",'Aircraft Calc'!D$211,'Aircraft Calc'!H$211)</f>
        <v>2.2000000000000002</v>
      </c>
      <c r="I210" s="186">
        <f>IF(ALECA_Input!$F$13="ICAO (3000ft)",'Aircraft Calc'!E$211,'Aircraft Calc'!I$211)</f>
        <v>4</v>
      </c>
      <c r="J210" s="189">
        <v>1</v>
      </c>
      <c r="K210" s="187">
        <f t="shared" si="37"/>
        <v>298.51200000000006</v>
      </c>
      <c r="L210" s="187">
        <f t="shared" si="38"/>
        <v>7.5164880000000007</v>
      </c>
      <c r="M210" s="187">
        <f t="shared" si="39"/>
        <v>8.004840000000002E-2</v>
      </c>
      <c r="N210" s="187">
        <f t="shared" si="40"/>
        <v>0.33292680000000008</v>
      </c>
      <c r="O210" s="187">
        <f t="shared" si="41"/>
        <v>2.9664362214864431E-2</v>
      </c>
      <c r="P210" s="188">
        <f t="shared" si="42"/>
        <v>1.0630717088220989E+17</v>
      </c>
      <c r="Q210" s="187">
        <f t="shared" si="43"/>
        <v>6900</v>
      </c>
      <c r="R210" s="219">
        <f t="shared" si="44"/>
        <v>32.43</v>
      </c>
      <c r="S210" s="219">
        <f t="shared" si="45"/>
        <v>24.150000000000002</v>
      </c>
      <c r="T210" s="219">
        <f t="shared" si="46"/>
        <v>132.47999999999999</v>
      </c>
      <c r="U210" s="219">
        <f t="shared" si="47"/>
        <v>0.5905550456229266</v>
      </c>
      <c r="V210" s="188">
        <f t="shared" si="48"/>
        <v>5233730532057548</v>
      </c>
      <c r="W210" s="323">
        <v>1.43</v>
      </c>
      <c r="X210" s="323">
        <v>1.141</v>
      </c>
      <c r="Y210" s="323">
        <v>0.36599999999999999</v>
      </c>
      <c r="Z210" s="323">
        <v>0.115</v>
      </c>
      <c r="AA210" s="323">
        <v>37.299999999999997</v>
      </c>
      <c r="AB210" s="323">
        <v>28.5</v>
      </c>
      <c r="AC210" s="323">
        <v>11.2</v>
      </c>
      <c r="AD210" s="323">
        <v>4.7</v>
      </c>
      <c r="AE210" s="323">
        <v>0.1</v>
      </c>
      <c r="AF210" s="323">
        <v>0.2</v>
      </c>
      <c r="AG210" s="323">
        <v>0.5</v>
      </c>
      <c r="AH210" s="323">
        <v>3.5</v>
      </c>
      <c r="AI210" s="323">
        <v>0.8</v>
      </c>
      <c r="AJ210" s="323">
        <v>0.9</v>
      </c>
      <c r="AK210" s="323">
        <v>1.7</v>
      </c>
      <c r="AL210" s="323">
        <v>19.2</v>
      </c>
      <c r="AM210" s="323">
        <v>3.9794503340500303E-2</v>
      </c>
      <c r="AN210" s="323">
        <v>4.0979892196937484E-2</v>
      </c>
      <c r="AO210" s="323">
        <v>1.1801012075009476E-2</v>
      </c>
      <c r="AP210" s="323">
        <v>1.5032687771438617E-2</v>
      </c>
      <c r="AQ210" s="323">
        <v>0.1002545033405003</v>
      </c>
      <c r="AR210" s="323">
        <v>0.10513989219693748</v>
      </c>
      <c r="AS210" s="323">
        <v>8.8886012075009457E-2</v>
      </c>
      <c r="AT210" s="323">
        <v>8.5587687771438631E-2</v>
      </c>
      <c r="AU210" s="190">
        <v>250991337151385.13</v>
      </c>
      <c r="AV210" s="190">
        <v>258467805234823.22</v>
      </c>
      <c r="AW210" s="190">
        <v>595449431817742.5</v>
      </c>
      <c r="AX210" s="190">
        <v>758511671312688.13</v>
      </c>
      <c r="AY210" s="203">
        <v>8.4</v>
      </c>
      <c r="AZ210" s="239">
        <v>142.35</v>
      </c>
      <c r="BA210" s="203">
        <v>1995</v>
      </c>
      <c r="BB210" s="204">
        <v>35864</v>
      </c>
      <c r="BC210" s="203" t="s">
        <v>1109</v>
      </c>
    </row>
    <row r="211" spans="1:55" x14ac:dyDescent="0.2">
      <c r="A211" s="184" t="s">
        <v>653</v>
      </c>
      <c r="B211" s="184" t="s">
        <v>1239</v>
      </c>
      <c r="C211" s="184" t="s">
        <v>1052</v>
      </c>
      <c r="D211" s="185" t="s">
        <v>1043</v>
      </c>
      <c r="E211" s="184" t="s">
        <v>1240</v>
      </c>
      <c r="F211" s="184" t="s">
        <v>1240</v>
      </c>
      <c r="G211" s="186">
        <f>IF(ALECA_Input!$F$13="ICAO (3000ft)",'Aircraft Calc'!C$211,'Aircraft Calc'!G$211)</f>
        <v>0.7</v>
      </c>
      <c r="H211" s="186">
        <f>IF(ALECA_Input!$F$13="ICAO (3000ft)",'Aircraft Calc'!D$211,'Aircraft Calc'!H$211)</f>
        <v>2.2000000000000002</v>
      </c>
      <c r="I211" s="186">
        <f>IF(ALECA_Input!$F$13="ICAO (3000ft)",'Aircraft Calc'!E$211,'Aircraft Calc'!I$211)</f>
        <v>4</v>
      </c>
      <c r="J211" s="189">
        <v>1</v>
      </c>
      <c r="K211" s="187">
        <f t="shared" si="37"/>
        <v>245.84399999999999</v>
      </c>
      <c r="L211" s="187">
        <f t="shared" si="38"/>
        <v>4.9433759999999998</v>
      </c>
      <c r="M211" s="187">
        <f t="shared" si="39"/>
        <v>7.1632799999999996E-2</v>
      </c>
      <c r="N211" s="187">
        <f t="shared" si="40"/>
        <v>0.32609159999999998</v>
      </c>
      <c r="O211" s="187">
        <f t="shared" si="41"/>
        <v>2.4945406185943476E-2</v>
      </c>
      <c r="P211" s="188">
        <f t="shared" si="42"/>
        <v>8.8420482110119888E+16</v>
      </c>
      <c r="Q211" s="187">
        <f t="shared" si="43"/>
        <v>6239.9999999999991</v>
      </c>
      <c r="R211" s="219">
        <f t="shared" si="44"/>
        <v>26.831999999999997</v>
      </c>
      <c r="S211" s="219">
        <f t="shared" si="45"/>
        <v>28.703999999999994</v>
      </c>
      <c r="T211" s="219">
        <f t="shared" si="46"/>
        <v>146.01599999999996</v>
      </c>
      <c r="U211" s="219">
        <f t="shared" si="47"/>
        <v>0.57641805169377691</v>
      </c>
      <c r="V211" s="188">
        <f t="shared" si="48"/>
        <v>4733112828991173</v>
      </c>
      <c r="W211" s="323">
        <v>1.1319999999999999</v>
      </c>
      <c r="X211" s="323">
        <v>0.93500000000000005</v>
      </c>
      <c r="Y211" s="323">
        <v>0.312</v>
      </c>
      <c r="Z211" s="323">
        <v>0.104</v>
      </c>
      <c r="AA211" s="323">
        <v>28</v>
      </c>
      <c r="AB211" s="323">
        <v>23.2</v>
      </c>
      <c r="AC211" s="323">
        <v>10</v>
      </c>
      <c r="AD211" s="323">
        <v>4.3</v>
      </c>
      <c r="AE211" s="323">
        <v>0.2</v>
      </c>
      <c r="AF211" s="323">
        <v>0.2</v>
      </c>
      <c r="AG211" s="323">
        <v>0.5</v>
      </c>
      <c r="AH211" s="323">
        <v>4.5999999999999996</v>
      </c>
      <c r="AI211" s="323">
        <v>0.9</v>
      </c>
      <c r="AJ211" s="323">
        <v>0.9</v>
      </c>
      <c r="AK211" s="323">
        <v>2.2999999999999998</v>
      </c>
      <c r="AL211" s="323">
        <v>23.4</v>
      </c>
      <c r="AM211" s="323">
        <v>3.9794503340500303E-2</v>
      </c>
      <c r="AN211" s="323">
        <v>4.0979892196937484E-2</v>
      </c>
      <c r="AO211" s="323">
        <v>1.1801012075009476E-2</v>
      </c>
      <c r="AP211" s="323">
        <v>1.5032687771438617E-2</v>
      </c>
      <c r="AQ211" s="323">
        <v>0.1117545033405003</v>
      </c>
      <c r="AR211" s="323">
        <v>0.10513989219693748</v>
      </c>
      <c r="AS211" s="323">
        <v>8.8886012075009457E-2</v>
      </c>
      <c r="AT211" s="323">
        <v>9.2374687771438618E-2</v>
      </c>
      <c r="AU211" s="190">
        <v>250991337151385.13</v>
      </c>
      <c r="AV211" s="190">
        <v>258467805234823.22</v>
      </c>
      <c r="AW211" s="190">
        <v>595449431817742.5</v>
      </c>
      <c r="AX211" s="190">
        <v>758511671312688.13</v>
      </c>
      <c r="AY211" s="203">
        <v>5.6</v>
      </c>
      <c r="AZ211" s="239">
        <v>120.11</v>
      </c>
      <c r="BA211" s="203">
        <v>1995</v>
      </c>
      <c r="BB211" s="204">
        <v>35864</v>
      </c>
      <c r="BC211" s="203" t="s">
        <v>1109</v>
      </c>
    </row>
    <row r="212" spans="1:55" x14ac:dyDescent="0.2">
      <c r="A212" s="184" t="s">
        <v>652</v>
      </c>
      <c r="B212" s="184" t="s">
        <v>1241</v>
      </c>
      <c r="C212" s="184" t="s">
        <v>1052</v>
      </c>
      <c r="D212" s="185" t="s">
        <v>1043</v>
      </c>
      <c r="E212" s="184" t="s">
        <v>1242</v>
      </c>
      <c r="F212" s="184" t="s">
        <v>1242</v>
      </c>
      <c r="G212" s="186">
        <f>IF(ALECA_Input!$F$13="ICAO (3000ft)",'Aircraft Calc'!C$211,'Aircraft Calc'!G$211)</f>
        <v>0.7</v>
      </c>
      <c r="H212" s="186">
        <f>IF(ALECA_Input!$F$13="ICAO (3000ft)",'Aircraft Calc'!D$211,'Aircraft Calc'!H$211)</f>
        <v>2.2000000000000002</v>
      </c>
      <c r="I212" s="186">
        <f>IF(ALECA_Input!$F$13="ICAO (3000ft)",'Aircraft Calc'!E$211,'Aircraft Calc'!I$211)</f>
        <v>4</v>
      </c>
      <c r="J212" s="189">
        <v>1</v>
      </c>
      <c r="K212" s="187">
        <f t="shared" si="37"/>
        <v>197.76599999999999</v>
      </c>
      <c r="L212" s="187">
        <f t="shared" si="38"/>
        <v>3.1743858</v>
      </c>
      <c r="M212" s="187">
        <f t="shared" si="39"/>
        <v>7.0753200000000002E-2</v>
      </c>
      <c r="N212" s="187">
        <f t="shared" si="40"/>
        <v>0.34378380000000003</v>
      </c>
      <c r="O212" s="187">
        <f t="shared" si="41"/>
        <v>2.0728385778825641E-2</v>
      </c>
      <c r="P212" s="188">
        <f t="shared" si="42"/>
        <v>7.18640130802258E+16</v>
      </c>
      <c r="Q212" s="187">
        <f t="shared" si="43"/>
        <v>5640</v>
      </c>
      <c r="R212" s="219">
        <f t="shared" si="44"/>
        <v>21.431999999999999</v>
      </c>
      <c r="S212" s="219">
        <f t="shared" si="45"/>
        <v>34.967999999999996</v>
      </c>
      <c r="T212" s="219">
        <f t="shared" si="46"/>
        <v>169.2</v>
      </c>
      <c r="U212" s="219">
        <f t="shared" si="47"/>
        <v>0.57667131903091384</v>
      </c>
      <c r="V212" s="188">
        <f t="shared" si="48"/>
        <v>4278005826203561</v>
      </c>
      <c r="W212" s="323">
        <v>0.89100000000000001</v>
      </c>
      <c r="X212" s="323">
        <v>0.74199999999999999</v>
      </c>
      <c r="Y212" s="323">
        <v>0.26</v>
      </c>
      <c r="Z212" s="323">
        <v>9.4E-2</v>
      </c>
      <c r="AA212" s="323">
        <v>21.9</v>
      </c>
      <c r="AB212" s="323">
        <v>18.5</v>
      </c>
      <c r="AC212" s="323">
        <v>8.6999999999999993</v>
      </c>
      <c r="AD212" s="323">
        <v>3.8</v>
      </c>
      <c r="AE212" s="323">
        <v>0.2</v>
      </c>
      <c r="AF212" s="323">
        <v>0.2</v>
      </c>
      <c r="AG212" s="323">
        <v>0.7</v>
      </c>
      <c r="AH212" s="323">
        <v>6.2</v>
      </c>
      <c r="AI212" s="323">
        <v>0.9</v>
      </c>
      <c r="AJ212" s="323">
        <v>1</v>
      </c>
      <c r="AK212" s="323">
        <v>3.4</v>
      </c>
      <c r="AL212" s="323">
        <v>30</v>
      </c>
      <c r="AM212" s="323">
        <v>3.9794503340500303E-2</v>
      </c>
      <c r="AN212" s="323">
        <v>4.0979892196937484E-2</v>
      </c>
      <c r="AO212" s="323">
        <v>1.1801012075009476E-2</v>
      </c>
      <c r="AP212" s="323">
        <v>1.5032687771438617E-2</v>
      </c>
      <c r="AQ212" s="323">
        <v>0.1117545033405003</v>
      </c>
      <c r="AR212" s="323">
        <v>0.10513989219693748</v>
      </c>
      <c r="AS212" s="323">
        <v>0.10013601207500945</v>
      </c>
      <c r="AT212" s="323">
        <v>0.10224668777143864</v>
      </c>
      <c r="AU212" s="190">
        <v>250991337151385.13</v>
      </c>
      <c r="AV212" s="190">
        <v>258467805234823.22</v>
      </c>
      <c r="AW212" s="190">
        <v>595449431817742.5</v>
      </c>
      <c r="AX212" s="190">
        <v>758511671312688.13</v>
      </c>
      <c r="AY212" s="203">
        <v>3.7</v>
      </c>
      <c r="AZ212" s="239">
        <v>97.89</v>
      </c>
      <c r="BA212" s="203">
        <v>1995</v>
      </c>
      <c r="BB212" s="204">
        <v>35864</v>
      </c>
      <c r="BC212" s="203" t="s">
        <v>1109</v>
      </c>
    </row>
    <row r="213" spans="1:55" x14ac:dyDescent="0.2">
      <c r="A213" s="184" t="s">
        <v>1244</v>
      </c>
      <c r="B213" s="184" t="s">
        <v>1243</v>
      </c>
      <c r="C213" s="184" t="s">
        <v>1052</v>
      </c>
      <c r="D213" s="185" t="s">
        <v>1043</v>
      </c>
      <c r="E213" s="184" t="s">
        <v>1245</v>
      </c>
      <c r="F213" s="184" t="s">
        <v>1245</v>
      </c>
      <c r="G213" s="186">
        <f>IF(ALECA_Input!$F$13="ICAO (3000ft)",'Aircraft Calc'!C$211,'Aircraft Calc'!G$211)</f>
        <v>0.7</v>
      </c>
      <c r="H213" s="186">
        <f>IF(ALECA_Input!$F$13="ICAO (3000ft)",'Aircraft Calc'!D$211,'Aircraft Calc'!H$211)</f>
        <v>2.2000000000000002</v>
      </c>
      <c r="I213" s="186">
        <f>IF(ALECA_Input!$F$13="ICAO (3000ft)",'Aircraft Calc'!E$211,'Aircraft Calc'!I$211)</f>
        <v>4</v>
      </c>
      <c r="J213" s="189">
        <v>1</v>
      </c>
      <c r="K213" s="187">
        <f t="shared" si="37"/>
        <v>211.83</v>
      </c>
      <c r="L213" s="187">
        <f t="shared" si="38"/>
        <v>3.626916</v>
      </c>
      <c r="M213" s="187">
        <f t="shared" si="39"/>
        <v>6.8766000000000008E-2</v>
      </c>
      <c r="N213" s="187">
        <f t="shared" si="40"/>
        <v>0.33319379999999998</v>
      </c>
      <c r="O213" s="187">
        <f t="shared" si="41"/>
        <v>2.18372562110065E-2</v>
      </c>
      <c r="P213" s="188">
        <f t="shared" si="42"/>
        <v>7.6690257332581552E+16</v>
      </c>
      <c r="Q213" s="187">
        <f t="shared" si="43"/>
        <v>5820</v>
      </c>
      <c r="R213" s="219">
        <f t="shared" si="44"/>
        <v>23.28</v>
      </c>
      <c r="S213" s="219">
        <f t="shared" si="45"/>
        <v>32.010000000000005</v>
      </c>
      <c r="T213" s="219">
        <f t="shared" si="46"/>
        <v>161.214</v>
      </c>
      <c r="U213" s="219">
        <f t="shared" si="47"/>
        <v>0.56993914282977276</v>
      </c>
      <c r="V213" s="188">
        <f t="shared" si="48"/>
        <v>4414537927039845</v>
      </c>
      <c r="W213" s="323">
        <v>0.96099999999999997</v>
      </c>
      <c r="X213" s="323">
        <v>0.79900000000000004</v>
      </c>
      <c r="Y213" s="323">
        <v>0.27500000000000002</v>
      </c>
      <c r="Z213" s="323">
        <v>9.7000000000000003E-2</v>
      </c>
      <c r="AA213" s="323">
        <v>23.6</v>
      </c>
      <c r="AB213" s="323">
        <v>19.600000000000001</v>
      </c>
      <c r="AC213" s="323">
        <v>9.1999999999999993</v>
      </c>
      <c r="AD213" s="323">
        <v>4</v>
      </c>
      <c r="AE213" s="323">
        <v>0.2</v>
      </c>
      <c r="AF213" s="323">
        <v>0.2</v>
      </c>
      <c r="AG213" s="323">
        <v>0.6</v>
      </c>
      <c r="AH213" s="323">
        <v>5.5</v>
      </c>
      <c r="AI213" s="323">
        <v>0.9</v>
      </c>
      <c r="AJ213" s="323">
        <v>1</v>
      </c>
      <c r="AK213" s="323">
        <v>2.9</v>
      </c>
      <c r="AL213" s="323">
        <v>27.7</v>
      </c>
      <c r="AM213" s="323">
        <v>3.9794503340500303E-2</v>
      </c>
      <c r="AN213" s="323">
        <v>4.0979892196937484E-2</v>
      </c>
      <c r="AO213" s="323">
        <v>1.1801012075009476E-2</v>
      </c>
      <c r="AP213" s="323">
        <v>1.5032687771438617E-2</v>
      </c>
      <c r="AQ213" s="323">
        <v>0.1117545033405003</v>
      </c>
      <c r="AR213" s="323">
        <v>0.10513989219693748</v>
      </c>
      <c r="AS213" s="323">
        <v>9.4511012075009462E-2</v>
      </c>
      <c r="AT213" s="323">
        <v>9.7927687771438621E-2</v>
      </c>
      <c r="AU213" s="190">
        <v>250991337151385.13</v>
      </c>
      <c r="AV213" s="190">
        <v>258467805234823.22</v>
      </c>
      <c r="AW213" s="190">
        <v>595449431817742.5</v>
      </c>
      <c r="AX213" s="190">
        <v>758511671312688.13</v>
      </c>
      <c r="AY213" s="203">
        <v>4.2</v>
      </c>
      <c r="AZ213" s="239">
        <v>104.53</v>
      </c>
      <c r="BA213" s="203">
        <v>1995</v>
      </c>
      <c r="BB213" s="204">
        <v>35864</v>
      </c>
      <c r="BC213" s="203" t="s">
        <v>1109</v>
      </c>
    </row>
    <row r="214" spans="1:55" x14ac:dyDescent="0.2">
      <c r="A214" s="184" t="s">
        <v>1247</v>
      </c>
      <c r="B214" s="184" t="s">
        <v>1246</v>
      </c>
      <c r="C214" s="184" t="s">
        <v>1052</v>
      </c>
      <c r="D214" s="185" t="s">
        <v>1043</v>
      </c>
      <c r="E214" s="184" t="s">
        <v>1248</v>
      </c>
      <c r="F214" s="184" t="s">
        <v>1248</v>
      </c>
      <c r="G214" s="186">
        <f>IF(ALECA_Input!$F$13="ICAO (3000ft)",'Aircraft Calc'!C$211,'Aircraft Calc'!G$211)</f>
        <v>0.7</v>
      </c>
      <c r="H214" s="186">
        <f>IF(ALECA_Input!$F$13="ICAO (3000ft)",'Aircraft Calc'!D$211,'Aircraft Calc'!H$211)</f>
        <v>2.2000000000000002</v>
      </c>
      <c r="I214" s="186">
        <f>IF(ALECA_Input!$F$13="ICAO (3000ft)",'Aircraft Calc'!E$211,'Aircraft Calc'!I$211)</f>
        <v>4</v>
      </c>
      <c r="J214" s="189">
        <v>1</v>
      </c>
      <c r="K214" s="187">
        <f t="shared" si="37"/>
        <v>192.51600000000002</v>
      </c>
      <c r="L214" s="187">
        <f t="shared" si="38"/>
        <v>2.8210224000000004</v>
      </c>
      <c r="M214" s="187">
        <f t="shared" si="39"/>
        <v>1.9251600000000004E-2</v>
      </c>
      <c r="N214" s="187">
        <f t="shared" si="40"/>
        <v>0.28386</v>
      </c>
      <c r="O214" s="187">
        <f t="shared" si="41"/>
        <v>2.1713556207771295E-2</v>
      </c>
      <c r="P214" s="188">
        <f t="shared" si="42"/>
        <v>1.7062401573334246E+17</v>
      </c>
      <c r="Q214" s="187">
        <f t="shared" si="43"/>
        <v>5820</v>
      </c>
      <c r="R214" s="219">
        <f t="shared" si="44"/>
        <v>25.026</v>
      </c>
      <c r="S214" s="219">
        <f t="shared" si="45"/>
        <v>20.37</v>
      </c>
      <c r="T214" s="219">
        <f t="shared" si="46"/>
        <v>164.70600000000002</v>
      </c>
      <c r="U214" s="219">
        <f t="shared" si="47"/>
        <v>0.68634089102808349</v>
      </c>
      <c r="V214" s="188">
        <f t="shared" si="48"/>
        <v>1.3911674085255174E+16</v>
      </c>
      <c r="W214" s="323">
        <v>0.85399999999999998</v>
      </c>
      <c r="X214" s="323">
        <v>0.71399999999999997</v>
      </c>
      <c r="Y214" s="323">
        <v>0.26</v>
      </c>
      <c r="Z214" s="323">
        <v>9.7000000000000003E-2</v>
      </c>
      <c r="AA214" s="323">
        <v>19.2</v>
      </c>
      <c r="AB214" s="323">
        <v>16.600000000000001</v>
      </c>
      <c r="AC214" s="323">
        <v>9.1</v>
      </c>
      <c r="AD214" s="323">
        <v>4.3</v>
      </c>
      <c r="AE214" s="323">
        <v>0.1</v>
      </c>
      <c r="AF214" s="323">
        <v>0.1</v>
      </c>
      <c r="AG214" s="323">
        <v>0.1</v>
      </c>
      <c r="AH214" s="323">
        <v>3.5</v>
      </c>
      <c r="AI214" s="323">
        <v>0.6</v>
      </c>
      <c r="AJ214" s="323">
        <v>0.4</v>
      </c>
      <c r="AK214" s="323">
        <v>3.6</v>
      </c>
      <c r="AL214" s="323">
        <v>28.3</v>
      </c>
      <c r="AM214" s="323">
        <v>6.3239730743070335E-2</v>
      </c>
      <c r="AN214" s="323">
        <v>6.5989046784077701E-2</v>
      </c>
      <c r="AO214" s="323">
        <v>3.7188905515594395E-2</v>
      </c>
      <c r="AP214" s="323">
        <v>4.7372988149155248E-2</v>
      </c>
      <c r="AQ214" s="323">
        <v>0.12369973074307034</v>
      </c>
      <c r="AR214" s="323">
        <v>0.12254904678407771</v>
      </c>
      <c r="AS214" s="323">
        <v>9.1773905515594403E-2</v>
      </c>
      <c r="AT214" s="323">
        <v>0.11792798814915524</v>
      </c>
      <c r="AU214" s="190">
        <v>398864748844412.44</v>
      </c>
      <c r="AV214" s="190">
        <v>416205196681636.69</v>
      </c>
      <c r="AW214" s="190">
        <v>1876458774758656.8</v>
      </c>
      <c r="AX214" s="190">
        <v>2390322007775803</v>
      </c>
      <c r="AY214" s="203">
        <v>3.5</v>
      </c>
      <c r="AZ214" s="239">
        <v>86.74</v>
      </c>
      <c r="BA214" s="203">
        <v>1996</v>
      </c>
      <c r="BB214" s="204">
        <v>35864</v>
      </c>
      <c r="BC214" s="203" t="s">
        <v>1109</v>
      </c>
    </row>
    <row r="215" spans="1:55" x14ac:dyDescent="0.2">
      <c r="A215" s="184" t="s">
        <v>1250</v>
      </c>
      <c r="B215" s="184" t="s">
        <v>1249</v>
      </c>
      <c r="C215" s="184" t="s">
        <v>1052</v>
      </c>
      <c r="D215" s="185" t="s">
        <v>1043</v>
      </c>
      <c r="E215" s="184" t="s">
        <v>1251</v>
      </c>
      <c r="F215" s="184" t="s">
        <v>1251</v>
      </c>
      <c r="G215" s="186">
        <f>IF(ALECA_Input!$F$13="ICAO (3000ft)",'Aircraft Calc'!C$211,'Aircraft Calc'!G$211)</f>
        <v>0.7</v>
      </c>
      <c r="H215" s="186">
        <f>IF(ALECA_Input!$F$13="ICAO (3000ft)",'Aircraft Calc'!D$211,'Aircraft Calc'!H$211)</f>
        <v>2.2000000000000002</v>
      </c>
      <c r="I215" s="186">
        <f>IF(ALECA_Input!$F$13="ICAO (3000ft)",'Aircraft Calc'!E$211,'Aircraft Calc'!I$211)</f>
        <v>4</v>
      </c>
      <c r="J215" s="189">
        <v>1</v>
      </c>
      <c r="K215" s="187">
        <f t="shared" ref="K215:K278" si="49">(G215*W215*60+H215*X215*60+I215*Y215*60)</f>
        <v>204.55799999999999</v>
      </c>
      <c r="L215" s="187">
        <f t="shared" ref="L215:L278" si="50">(G215*W215*60*AA215+H215*X215*60*AB215+I215*Y215*60*AC215)/1000</f>
        <v>3.1586778000000004</v>
      </c>
      <c r="M215" s="187">
        <f t="shared" ref="M215:M278" si="51">(G215*W215*60*AE215+H215*X215*60*AF215+I215*Y215*60*AG215)/1000</f>
        <v>2.0455800000000003E-2</v>
      </c>
      <c r="N215" s="187">
        <f t="shared" ref="N215:N278" si="52">(G215*W215*60*AI215+H215*X215*60*AJ215+I215*Y215*60*AK215)/1000</f>
        <v>0.28366560000000002</v>
      </c>
      <c r="O215" s="187">
        <f t="shared" ref="O215:O278" si="53">(G215*W215*60*AQ215+H215*X215*60*AR215+I215*Y215*60*AS215)/1000</f>
        <v>2.3817114281247925E-2</v>
      </c>
      <c r="P215" s="188">
        <f t="shared" ref="P215:P278" si="54">(G215*W215*60*AU215+H215*X215*60*AV215+I215*Y215*60*AW215)</f>
        <v>1.9736373801982589E+17</v>
      </c>
      <c r="Q215" s="187">
        <f t="shared" ref="Q215:Q278" si="55">J215*Z215*60*1000</f>
        <v>6000</v>
      </c>
      <c r="R215" s="219">
        <f t="shared" ref="R215:R278" si="56">J215*Z215*60*AD215</f>
        <v>25.799999999999997</v>
      </c>
      <c r="S215" s="219">
        <f t="shared" ref="S215:S278" si="57">J215*Z215*60*AH215</f>
        <v>18.600000000000001</v>
      </c>
      <c r="T215" s="219">
        <f t="shared" ref="T215:T278" si="58">J215*Z215*60*AL215</f>
        <v>155.39999999999998</v>
      </c>
      <c r="U215" s="219">
        <f t="shared" ref="U215:U278" si="59">J215*Z215*60*AT215</f>
        <v>0.72506183991386686</v>
      </c>
      <c r="V215" s="188">
        <f t="shared" ref="V215:V278" si="60">J215*Z215*60*AX215</f>
        <v>1.5971805352486252E+16</v>
      </c>
      <c r="W215" s="323">
        <v>0.91300000000000003</v>
      </c>
      <c r="X215" s="323">
        <v>0.76100000000000001</v>
      </c>
      <c r="Y215" s="323">
        <v>0.27400000000000002</v>
      </c>
      <c r="Z215" s="323">
        <v>0.1</v>
      </c>
      <c r="AA215" s="323">
        <v>20.5</v>
      </c>
      <c r="AB215" s="323">
        <v>17.399999999999999</v>
      </c>
      <c r="AC215" s="323">
        <v>9.5</v>
      </c>
      <c r="AD215" s="323">
        <v>4.3</v>
      </c>
      <c r="AE215" s="323">
        <v>0.1</v>
      </c>
      <c r="AF215" s="323">
        <v>0.1</v>
      </c>
      <c r="AG215" s="323">
        <v>0.1</v>
      </c>
      <c r="AH215" s="323">
        <v>3.1</v>
      </c>
      <c r="AI215" s="323">
        <v>0.6</v>
      </c>
      <c r="AJ215" s="323">
        <v>0.5</v>
      </c>
      <c r="AK215" s="323">
        <v>3.2</v>
      </c>
      <c r="AL215" s="323">
        <v>25.9</v>
      </c>
      <c r="AM215" s="323">
        <v>6.6633276886366402E-2</v>
      </c>
      <c r="AN215" s="323">
        <v>6.9177889175856946E-2</v>
      </c>
      <c r="AO215" s="323">
        <v>4.1415198331358531E-2</v>
      </c>
      <c r="AP215" s="323">
        <v>5.2756639985644477E-2</v>
      </c>
      <c r="AQ215" s="323">
        <v>0.1270932768863664</v>
      </c>
      <c r="AR215" s="323">
        <v>0.12573788917585693</v>
      </c>
      <c r="AS215" s="323">
        <v>9.6000198331358519E-2</v>
      </c>
      <c r="AT215" s="323">
        <v>0.12084363998564447</v>
      </c>
      <c r="AU215" s="190">
        <v>420268475808984.13</v>
      </c>
      <c r="AV215" s="190">
        <v>436317818996063.88</v>
      </c>
      <c r="AW215" s="190">
        <v>2089706896177949.5</v>
      </c>
      <c r="AX215" s="190">
        <v>2661967558747708.5</v>
      </c>
      <c r="AY215" s="203">
        <v>3.8</v>
      </c>
      <c r="AZ215" s="239">
        <v>91.63</v>
      </c>
      <c r="BA215" s="203">
        <v>1996</v>
      </c>
      <c r="BB215" s="204">
        <v>35864</v>
      </c>
      <c r="BC215" s="203" t="s">
        <v>1109</v>
      </c>
    </row>
    <row r="216" spans="1:55" x14ac:dyDescent="0.2">
      <c r="A216" s="184" t="s">
        <v>1253</v>
      </c>
      <c r="B216" s="184" t="s">
        <v>1252</v>
      </c>
      <c r="C216" s="184" t="s">
        <v>1052</v>
      </c>
      <c r="D216" s="185" t="s">
        <v>1043</v>
      </c>
      <c r="E216" s="184" t="s">
        <v>1254</v>
      </c>
      <c r="F216" s="184" t="s">
        <v>1254</v>
      </c>
      <c r="G216" s="186">
        <f>IF(ALECA_Input!$F$13="ICAO (3000ft)",'Aircraft Calc'!C$211,'Aircraft Calc'!G$211)</f>
        <v>0.7</v>
      </c>
      <c r="H216" s="186">
        <f>IF(ALECA_Input!$F$13="ICAO (3000ft)",'Aircraft Calc'!D$211,'Aircraft Calc'!H$211)</f>
        <v>2.2000000000000002</v>
      </c>
      <c r="I216" s="186">
        <f>IF(ALECA_Input!$F$13="ICAO (3000ft)",'Aircraft Calc'!E$211,'Aircraft Calc'!I$211)</f>
        <v>4</v>
      </c>
      <c r="J216" s="189">
        <v>1</v>
      </c>
      <c r="K216" s="187">
        <f t="shared" si="49"/>
        <v>225.81</v>
      </c>
      <c r="L216" s="187">
        <f t="shared" si="50"/>
        <v>3.8225261999999995</v>
      </c>
      <c r="M216" s="187">
        <f t="shared" si="51"/>
        <v>2.2581E-2</v>
      </c>
      <c r="N216" s="187">
        <f t="shared" si="52"/>
        <v>0.26708579999999993</v>
      </c>
      <c r="O216" s="187">
        <f t="shared" si="53"/>
        <v>2.6340247613703557E-2</v>
      </c>
      <c r="P216" s="188">
        <f t="shared" si="54"/>
        <v>2.2753338331943456E+17</v>
      </c>
      <c r="Q216" s="187">
        <f t="shared" si="55"/>
        <v>6300</v>
      </c>
      <c r="R216" s="219">
        <f t="shared" si="56"/>
        <v>28.349999999999998</v>
      </c>
      <c r="S216" s="219">
        <f t="shared" si="57"/>
        <v>15.75</v>
      </c>
      <c r="T216" s="219">
        <f t="shared" si="58"/>
        <v>143.63999999999999</v>
      </c>
      <c r="U216" s="219">
        <f t="shared" si="59"/>
        <v>0.76682557518605332</v>
      </c>
      <c r="V216" s="188">
        <f t="shared" si="60"/>
        <v>1.8225248662995604E+16</v>
      </c>
      <c r="W216" s="323">
        <v>1.0209999999999999</v>
      </c>
      <c r="X216" s="323">
        <v>0.84399999999999997</v>
      </c>
      <c r="Y216" s="323">
        <v>0.29799999999999999</v>
      </c>
      <c r="Z216" s="323">
        <v>0.105</v>
      </c>
      <c r="AA216" s="323">
        <v>23.1</v>
      </c>
      <c r="AB216" s="323">
        <v>19</v>
      </c>
      <c r="AC216" s="323">
        <v>10</v>
      </c>
      <c r="AD216" s="323">
        <v>4.5</v>
      </c>
      <c r="AE216" s="323">
        <v>0.1</v>
      </c>
      <c r="AF216" s="323">
        <v>0.1</v>
      </c>
      <c r="AG216" s="323">
        <v>0.1</v>
      </c>
      <c r="AH216" s="323">
        <v>2.5</v>
      </c>
      <c r="AI216" s="323">
        <v>0.5</v>
      </c>
      <c r="AJ216" s="323">
        <v>0.6</v>
      </c>
      <c r="AK216" s="323">
        <v>2.5</v>
      </c>
      <c r="AL216" s="323">
        <v>22.8</v>
      </c>
      <c r="AM216" s="323">
        <v>6.9686754702501755E-2</v>
      </c>
      <c r="AN216" s="323">
        <v>6.5840561409950968E-2</v>
      </c>
      <c r="AO216" s="323">
        <v>4.5008019197302247E-2</v>
      </c>
      <c r="AP216" s="323">
        <v>5.7333345267627525E-2</v>
      </c>
      <c r="AQ216" s="323">
        <v>0.13014675470250175</v>
      </c>
      <c r="AR216" s="323">
        <v>0.12240056140995098</v>
      </c>
      <c r="AS216" s="323">
        <v>9.9593019197302263E-2</v>
      </c>
      <c r="AT216" s="323">
        <v>0.12171834526762752</v>
      </c>
      <c r="AU216" s="190">
        <v>439527328557472</v>
      </c>
      <c r="AV216" s="190">
        <v>415268671798272.5</v>
      </c>
      <c r="AW216" s="190">
        <v>2270991613933600.5</v>
      </c>
      <c r="AX216" s="190">
        <v>2892896613173905.5</v>
      </c>
      <c r="AY216" s="203">
        <v>4.5999999999999996</v>
      </c>
      <c r="AZ216" s="239">
        <v>100.97</v>
      </c>
      <c r="BA216" s="203">
        <v>1996</v>
      </c>
      <c r="BB216" s="204">
        <v>35864</v>
      </c>
      <c r="BC216" s="203" t="s">
        <v>1109</v>
      </c>
    </row>
    <row r="217" spans="1:55" x14ac:dyDescent="0.2">
      <c r="A217" s="184" t="s">
        <v>663</v>
      </c>
      <c r="B217" s="184" t="s">
        <v>1255</v>
      </c>
      <c r="C217" s="184" t="s">
        <v>1052</v>
      </c>
      <c r="D217" s="185" t="s">
        <v>1043</v>
      </c>
      <c r="E217" s="184" t="s">
        <v>245</v>
      </c>
      <c r="F217" s="184" t="s">
        <v>245</v>
      </c>
      <c r="G217" s="186">
        <f>IF(ALECA_Input!$F$13="ICAO (3000ft)",'Aircraft Calc'!C$211,'Aircraft Calc'!G$211)</f>
        <v>0.7</v>
      </c>
      <c r="H217" s="186">
        <f>IF(ALECA_Input!$F$13="ICAO (3000ft)",'Aircraft Calc'!D$211,'Aircraft Calc'!H$211)</f>
        <v>2.2000000000000002</v>
      </c>
      <c r="I217" s="186">
        <f>IF(ALECA_Input!$F$13="ICAO (3000ft)",'Aircraft Calc'!E$211,'Aircraft Calc'!I$211)</f>
        <v>4</v>
      </c>
      <c r="J217" s="189">
        <v>1</v>
      </c>
      <c r="K217" s="187">
        <f t="shared" si="49"/>
        <v>242.28600000000003</v>
      </c>
      <c r="L217" s="187">
        <f t="shared" si="50"/>
        <v>4.4004918000000011</v>
      </c>
      <c r="M217" s="187">
        <f t="shared" si="51"/>
        <v>2.4228599999999999E-2</v>
      </c>
      <c r="N217" s="187">
        <f t="shared" si="52"/>
        <v>0.25745040000000002</v>
      </c>
      <c r="O217" s="187">
        <f t="shared" si="53"/>
        <v>2.9798394019876013E-2</v>
      </c>
      <c r="P217" s="188">
        <f t="shared" si="54"/>
        <v>2.6377622869350195E+17</v>
      </c>
      <c r="Q217" s="187">
        <f t="shared" si="55"/>
        <v>6540</v>
      </c>
      <c r="R217" s="219">
        <f t="shared" si="56"/>
        <v>28.776000000000003</v>
      </c>
      <c r="S217" s="219">
        <f t="shared" si="57"/>
        <v>17.004000000000001</v>
      </c>
      <c r="T217" s="219">
        <f t="shared" si="58"/>
        <v>143.88</v>
      </c>
      <c r="U217" s="219">
        <f t="shared" si="59"/>
        <v>0.8293224061859833</v>
      </c>
      <c r="V217" s="188">
        <f t="shared" si="60"/>
        <v>2.0395387453468312E+16</v>
      </c>
      <c r="W217" s="323">
        <v>1.103</v>
      </c>
      <c r="X217" s="323">
        <v>0.91</v>
      </c>
      <c r="Y217" s="323">
        <v>0.316</v>
      </c>
      <c r="Z217" s="323">
        <v>0.109</v>
      </c>
      <c r="AA217" s="323">
        <v>25.3</v>
      </c>
      <c r="AB217" s="323">
        <v>20.5</v>
      </c>
      <c r="AC217" s="323">
        <v>10.1</v>
      </c>
      <c r="AD217" s="323">
        <v>4.4000000000000004</v>
      </c>
      <c r="AE217" s="323">
        <v>0.1</v>
      </c>
      <c r="AF217" s="323">
        <v>0.1</v>
      </c>
      <c r="AG217" s="323">
        <v>0.1</v>
      </c>
      <c r="AH217" s="323">
        <v>2.6</v>
      </c>
      <c r="AI217" s="323">
        <v>0.4</v>
      </c>
      <c r="AJ217" s="323">
        <v>0.6</v>
      </c>
      <c r="AK217" s="323">
        <v>2.2000000000000002</v>
      </c>
      <c r="AL217" s="323">
        <v>22</v>
      </c>
      <c r="AM217" s="323">
        <v>7.2881938647324562E-2</v>
      </c>
      <c r="AN217" s="323">
        <v>7.4990062053032824E-2</v>
      </c>
      <c r="AO217" s="323">
        <v>4.8518928221120139E-2</v>
      </c>
      <c r="AP217" s="323">
        <v>6.180570736788734E-2</v>
      </c>
      <c r="AQ217" s="323">
        <v>0.13334193864732458</v>
      </c>
      <c r="AR217" s="323">
        <v>0.13155006205303282</v>
      </c>
      <c r="AS217" s="323">
        <v>0.10310392822112013</v>
      </c>
      <c r="AT217" s="323">
        <v>0.12680770736788735</v>
      </c>
      <c r="AU217" s="190">
        <v>459679948226920.81</v>
      </c>
      <c r="AV217" s="190">
        <v>472976274806283.94</v>
      </c>
      <c r="AW217" s="190">
        <v>2448143265851935.5</v>
      </c>
      <c r="AX217" s="190">
        <v>3118560772701576.5</v>
      </c>
      <c r="AY217" s="203">
        <v>5.0999999999999996</v>
      </c>
      <c r="AZ217" s="239">
        <v>107.65</v>
      </c>
      <c r="BA217" s="203">
        <v>1996</v>
      </c>
      <c r="BB217" s="204">
        <v>35864</v>
      </c>
      <c r="BC217" s="203" t="s">
        <v>1109</v>
      </c>
    </row>
    <row r="218" spans="1:55" x14ac:dyDescent="0.2">
      <c r="A218" s="184" t="s">
        <v>1257</v>
      </c>
      <c r="B218" s="184" t="s">
        <v>1256</v>
      </c>
      <c r="C218" s="184" t="s">
        <v>1052</v>
      </c>
      <c r="D218" s="185" t="s">
        <v>1043</v>
      </c>
      <c r="E218" s="184" t="s">
        <v>1258</v>
      </c>
      <c r="F218" s="184" t="s">
        <v>1258</v>
      </c>
      <c r="G218" s="186">
        <f>IF(ALECA_Input!$F$13="ICAO (3000ft)",'Aircraft Calc'!C$211,'Aircraft Calc'!G$211)</f>
        <v>0.7</v>
      </c>
      <c r="H218" s="186">
        <f>IF(ALECA_Input!$F$13="ICAO (3000ft)",'Aircraft Calc'!D$211,'Aircraft Calc'!H$211)</f>
        <v>2.2000000000000002</v>
      </c>
      <c r="I218" s="186">
        <f>IF(ALECA_Input!$F$13="ICAO (3000ft)",'Aircraft Calc'!E$211,'Aircraft Calc'!I$211)</f>
        <v>4</v>
      </c>
      <c r="J218" s="189">
        <v>1</v>
      </c>
      <c r="K218" s="187">
        <f t="shared" si="49"/>
        <v>264.27</v>
      </c>
      <c r="L218" s="187">
        <f t="shared" si="50"/>
        <v>5.3200476000000005</v>
      </c>
      <c r="M218" s="187">
        <f t="shared" si="51"/>
        <v>2.6426999999999999E-2</v>
      </c>
      <c r="N218" s="187">
        <f t="shared" si="52"/>
        <v>0.21916919999999998</v>
      </c>
      <c r="O218" s="187">
        <f t="shared" si="53"/>
        <v>3.5587412612234637E-2</v>
      </c>
      <c r="P218" s="188">
        <f t="shared" si="54"/>
        <v>3.43529718537792E+17</v>
      </c>
      <c r="Q218" s="187">
        <f t="shared" si="55"/>
        <v>6780</v>
      </c>
      <c r="R218" s="219">
        <f t="shared" si="56"/>
        <v>31.866000000000003</v>
      </c>
      <c r="S218" s="219">
        <f t="shared" si="57"/>
        <v>12.882</v>
      </c>
      <c r="T218" s="219">
        <f t="shared" si="58"/>
        <v>127.46400000000001</v>
      </c>
      <c r="U218" s="219">
        <f t="shared" si="59"/>
        <v>0.92652123957202792</v>
      </c>
      <c r="V218" s="188">
        <f t="shared" si="60"/>
        <v>2.5990172991551228E+16</v>
      </c>
      <c r="W218" s="323">
        <v>1.2210000000000001</v>
      </c>
      <c r="X218" s="323">
        <v>0.999</v>
      </c>
      <c r="Y218" s="323">
        <v>0.33800000000000002</v>
      </c>
      <c r="Z218" s="323">
        <v>0.113</v>
      </c>
      <c r="AA218" s="323">
        <v>28.8</v>
      </c>
      <c r="AB218" s="323">
        <v>22.5</v>
      </c>
      <c r="AC218" s="323">
        <v>10.8</v>
      </c>
      <c r="AD218" s="323">
        <v>4.7</v>
      </c>
      <c r="AE218" s="323">
        <v>0.1</v>
      </c>
      <c r="AF218" s="323">
        <v>0.1</v>
      </c>
      <c r="AG218" s="323">
        <v>0.1</v>
      </c>
      <c r="AH218" s="323">
        <v>1.9</v>
      </c>
      <c r="AI218" s="323">
        <v>0.2</v>
      </c>
      <c r="AJ218" s="323">
        <v>0.6</v>
      </c>
      <c r="AK218" s="323">
        <v>1.6</v>
      </c>
      <c r="AL218" s="323">
        <v>18.8</v>
      </c>
      <c r="AM218" s="323">
        <v>8.5288468282576482E-2</v>
      </c>
      <c r="AN218" s="323">
        <v>8.636489998624966E-2</v>
      </c>
      <c r="AO218" s="323">
        <v>5.9639839131912939E-2</v>
      </c>
      <c r="AP218" s="323">
        <v>7.5972050084369899E-2</v>
      </c>
      <c r="AQ218" s="323">
        <v>0.14574846828257648</v>
      </c>
      <c r="AR218" s="323">
        <v>0.14292489998624966</v>
      </c>
      <c r="AS218" s="323">
        <v>0.11422483913191295</v>
      </c>
      <c r="AT218" s="323">
        <v>0.1366550500843699</v>
      </c>
      <c r="AU218" s="190">
        <v>537930239125538.63</v>
      </c>
      <c r="AV218" s="190">
        <v>544719494172783.06</v>
      </c>
      <c r="AW218" s="190">
        <v>3009276500953890.5</v>
      </c>
      <c r="AX218" s="190">
        <v>3833358848311390.5</v>
      </c>
      <c r="AY218" s="203">
        <v>6.1</v>
      </c>
      <c r="AZ218" s="239">
        <v>116.99</v>
      </c>
      <c r="BA218" s="203">
        <v>1996</v>
      </c>
      <c r="BB218" s="204">
        <v>39294</v>
      </c>
      <c r="BC218" s="203" t="s">
        <v>1109</v>
      </c>
    </row>
    <row r="219" spans="1:55" x14ac:dyDescent="0.2">
      <c r="A219" s="184" t="s">
        <v>1260</v>
      </c>
      <c r="B219" s="184" t="s">
        <v>1259</v>
      </c>
      <c r="C219" s="184" t="s">
        <v>1052</v>
      </c>
      <c r="D219" s="185" t="s">
        <v>1043</v>
      </c>
      <c r="E219" s="184" t="s">
        <v>1261</v>
      </c>
      <c r="F219" s="184" t="s">
        <v>1261</v>
      </c>
      <c r="G219" s="186">
        <f>IF(ALECA_Input!$F$13="ICAO (3000ft)",'Aircraft Calc'!C$211,'Aircraft Calc'!G$211)</f>
        <v>0.7</v>
      </c>
      <c r="H219" s="186">
        <f>IF(ALECA_Input!$F$13="ICAO (3000ft)",'Aircraft Calc'!D$211,'Aircraft Calc'!H$211)</f>
        <v>2.2000000000000002</v>
      </c>
      <c r="I219" s="186">
        <f>IF(ALECA_Input!$F$13="ICAO (3000ft)",'Aircraft Calc'!E$211,'Aircraft Calc'!I$211)</f>
        <v>4</v>
      </c>
      <c r="J219" s="189">
        <v>1</v>
      </c>
      <c r="K219" s="187">
        <f t="shared" si="49"/>
        <v>275.36399999999998</v>
      </c>
      <c r="L219" s="187">
        <f t="shared" si="50"/>
        <v>5.8506563999999992</v>
      </c>
      <c r="M219" s="187">
        <f t="shared" si="51"/>
        <v>2.7536399999999999E-2</v>
      </c>
      <c r="N219" s="187">
        <f t="shared" si="52"/>
        <v>0.19688759999999997</v>
      </c>
      <c r="O219" s="187">
        <f t="shared" si="53"/>
        <v>3.8669113553649756E-2</v>
      </c>
      <c r="P219" s="188">
        <f t="shared" si="54"/>
        <v>3.8258780795725798E+17</v>
      </c>
      <c r="Q219" s="187">
        <f t="shared" si="55"/>
        <v>6960</v>
      </c>
      <c r="R219" s="219">
        <f t="shared" si="56"/>
        <v>33.408000000000001</v>
      </c>
      <c r="S219" s="219">
        <f t="shared" si="57"/>
        <v>11.831999999999999</v>
      </c>
      <c r="T219" s="219">
        <f t="shared" si="58"/>
        <v>124.58399999999999</v>
      </c>
      <c r="U219" s="219">
        <f t="shared" si="59"/>
        <v>0.98247171281122592</v>
      </c>
      <c r="V219" s="188">
        <f t="shared" si="60"/>
        <v>2.8695510439610444E+16</v>
      </c>
      <c r="W219" s="323">
        <v>1.284</v>
      </c>
      <c r="X219" s="323">
        <v>1.0429999999999999</v>
      </c>
      <c r="Y219" s="323">
        <v>0.34899999999999998</v>
      </c>
      <c r="Z219" s="323">
        <v>0.11600000000000001</v>
      </c>
      <c r="AA219" s="323">
        <v>30.9</v>
      </c>
      <c r="AB219" s="323">
        <v>23.7</v>
      </c>
      <c r="AC219" s="323">
        <v>11</v>
      </c>
      <c r="AD219" s="323">
        <v>4.8</v>
      </c>
      <c r="AE219" s="323">
        <v>0.1</v>
      </c>
      <c r="AF219" s="323">
        <v>0.1</v>
      </c>
      <c r="AG219" s="323">
        <v>0.1</v>
      </c>
      <c r="AH219" s="323">
        <v>1.7</v>
      </c>
      <c r="AI219" s="323">
        <v>0.2</v>
      </c>
      <c r="AJ219" s="323">
        <v>0.5</v>
      </c>
      <c r="AK219" s="323">
        <v>1.4</v>
      </c>
      <c r="AL219" s="323">
        <v>17.899999999999999</v>
      </c>
      <c r="AM219" s="323">
        <v>9.1933574253776434E-2</v>
      </c>
      <c r="AN219" s="323">
        <v>9.2384055492021097E-2</v>
      </c>
      <c r="AO219" s="323">
        <v>6.4144836406072159E-2</v>
      </c>
      <c r="AP219" s="323">
        <v>8.1710728852187636E-2</v>
      </c>
      <c r="AQ219" s="323">
        <v>0.15239357425377642</v>
      </c>
      <c r="AR219" s="323">
        <v>0.14894405549202111</v>
      </c>
      <c r="AS219" s="323">
        <v>0.11872983640607218</v>
      </c>
      <c r="AT219" s="323">
        <v>0.14115972885218764</v>
      </c>
      <c r="AU219" s="190">
        <v>579842158944039.75</v>
      </c>
      <c r="AV219" s="190">
        <v>582683427934914.88</v>
      </c>
      <c r="AW219" s="190">
        <v>3236587349395373.5</v>
      </c>
      <c r="AX219" s="190">
        <v>4122918166610696</v>
      </c>
      <c r="AY219" s="203">
        <v>6.7</v>
      </c>
      <c r="AZ219" s="239">
        <v>121.44</v>
      </c>
      <c r="BA219" s="203">
        <v>1996</v>
      </c>
      <c r="BB219" s="204">
        <v>35864</v>
      </c>
      <c r="BC219" s="203" t="s">
        <v>1109</v>
      </c>
    </row>
    <row r="220" spans="1:55" x14ac:dyDescent="0.2">
      <c r="A220" s="184" t="s">
        <v>1263</v>
      </c>
      <c r="B220" s="184" t="s">
        <v>1262</v>
      </c>
      <c r="C220" s="184" t="s">
        <v>1052</v>
      </c>
      <c r="D220" s="185" t="s">
        <v>1043</v>
      </c>
      <c r="E220" s="184" t="s">
        <v>1264</v>
      </c>
      <c r="F220" s="184" t="s">
        <v>1264</v>
      </c>
      <c r="G220" s="186">
        <f>IF(ALECA_Input!$F$13="ICAO (3000ft)",'Aircraft Calc'!C$211,'Aircraft Calc'!G$211)</f>
        <v>0.7</v>
      </c>
      <c r="H220" s="186">
        <f>IF(ALECA_Input!$F$13="ICAO (3000ft)",'Aircraft Calc'!D$211,'Aircraft Calc'!H$211)</f>
        <v>2.2000000000000002</v>
      </c>
      <c r="I220" s="186">
        <f>IF(ALECA_Input!$F$13="ICAO (3000ft)",'Aircraft Calc'!E$211,'Aircraft Calc'!I$211)</f>
        <v>4</v>
      </c>
      <c r="J220" s="189">
        <v>1</v>
      </c>
      <c r="K220" s="187">
        <f t="shared" si="49"/>
        <v>197.99400000000003</v>
      </c>
      <c r="L220" s="187">
        <f t="shared" si="50"/>
        <v>3.2526705599999999</v>
      </c>
      <c r="M220" s="187">
        <f t="shared" si="51"/>
        <v>6.2451420000000007E-2</v>
      </c>
      <c r="N220" s="187">
        <f t="shared" si="52"/>
        <v>0.34307339999999997</v>
      </c>
      <c r="O220" s="187">
        <f t="shared" si="53"/>
        <v>2.8665899421378652E-2</v>
      </c>
      <c r="P220" s="188">
        <f t="shared" si="54"/>
        <v>2.4541422477153382E+17</v>
      </c>
      <c r="Q220" s="187">
        <f t="shared" si="55"/>
        <v>5700</v>
      </c>
      <c r="R220" s="219">
        <f t="shared" si="56"/>
        <v>23.028000000000002</v>
      </c>
      <c r="S220" s="219">
        <f t="shared" si="57"/>
        <v>9.9749999999999996</v>
      </c>
      <c r="T220" s="219">
        <f t="shared" si="58"/>
        <v>115.71000000000001</v>
      </c>
      <c r="U220" s="219">
        <f t="shared" si="59"/>
        <v>0.74472831114084281</v>
      </c>
      <c r="V220" s="188">
        <f t="shared" si="60"/>
        <v>2.039040401733262E+16</v>
      </c>
      <c r="W220" s="323">
        <v>0.89700000000000002</v>
      </c>
      <c r="X220" s="323">
        <v>0.74</v>
      </c>
      <c r="Y220" s="323">
        <v>0.26100000000000001</v>
      </c>
      <c r="Z220" s="323">
        <v>9.5000000000000001E-2</v>
      </c>
      <c r="AA220" s="323">
        <v>22.64</v>
      </c>
      <c r="AB220" s="323">
        <v>19.11</v>
      </c>
      <c r="AC220" s="323">
        <v>8.51</v>
      </c>
      <c r="AD220" s="323">
        <v>4.04</v>
      </c>
      <c r="AE220" s="323">
        <v>0.23</v>
      </c>
      <c r="AF220" s="323">
        <v>0.23</v>
      </c>
      <c r="AG220" s="323">
        <v>0.5</v>
      </c>
      <c r="AH220" s="323">
        <v>1.75</v>
      </c>
      <c r="AI220" s="323">
        <v>1.1000000000000001</v>
      </c>
      <c r="AJ220" s="323">
        <v>1.1000000000000001</v>
      </c>
      <c r="AK220" s="323">
        <v>3.1</v>
      </c>
      <c r="AL220" s="323">
        <v>20.3</v>
      </c>
      <c r="AM220" s="323">
        <v>8.0326281419466919E-2</v>
      </c>
      <c r="AN220" s="323">
        <v>8.1838325651096555E-2</v>
      </c>
      <c r="AO220" s="323">
        <v>5.5655483805596116E-2</v>
      </c>
      <c r="AP220" s="323">
        <v>7.0896589673832083E-2</v>
      </c>
      <c r="AQ220" s="323">
        <v>0.15573628141946694</v>
      </c>
      <c r="AR220" s="323">
        <v>0.14827832565109655</v>
      </c>
      <c r="AS220" s="323">
        <v>0.13274048380559614</v>
      </c>
      <c r="AT220" s="323">
        <v>0.13065408967383207</v>
      </c>
      <c r="AU220" s="190">
        <v>506632803263351.25</v>
      </c>
      <c r="AV220" s="190">
        <v>516169547579054.75</v>
      </c>
      <c r="AW220" s="190">
        <v>2808235937641575</v>
      </c>
      <c r="AX220" s="190">
        <v>3577263862689933.5</v>
      </c>
      <c r="AY220" s="203">
        <v>3.9</v>
      </c>
      <c r="AZ220" s="239">
        <v>97.89</v>
      </c>
      <c r="BA220" s="203">
        <v>1986</v>
      </c>
      <c r="BB220" s="204">
        <v>39294</v>
      </c>
      <c r="BC220" s="203" t="s">
        <v>1109</v>
      </c>
    </row>
    <row r="221" spans="1:55" x14ac:dyDescent="0.2">
      <c r="A221" s="184" t="s">
        <v>1266</v>
      </c>
      <c r="B221" s="184" t="s">
        <v>1265</v>
      </c>
      <c r="C221" s="184" t="s">
        <v>1052</v>
      </c>
      <c r="D221" s="185" t="s">
        <v>1043</v>
      </c>
      <c r="E221" s="184" t="s">
        <v>1267</v>
      </c>
      <c r="F221" s="184" t="s">
        <v>1267</v>
      </c>
      <c r="G221" s="186">
        <f>IF(ALECA_Input!$F$13="ICAO (3000ft)",'Aircraft Calc'!C$211,'Aircraft Calc'!G$211)</f>
        <v>0.7</v>
      </c>
      <c r="H221" s="186">
        <f>IF(ALECA_Input!$F$13="ICAO (3000ft)",'Aircraft Calc'!D$211,'Aircraft Calc'!H$211)</f>
        <v>2.2000000000000002</v>
      </c>
      <c r="I221" s="186">
        <f>IF(ALECA_Input!$F$13="ICAO (3000ft)",'Aircraft Calc'!E$211,'Aircraft Calc'!I$211)</f>
        <v>4</v>
      </c>
      <c r="J221" s="189">
        <v>1</v>
      </c>
      <c r="K221" s="187">
        <f t="shared" si="49"/>
        <v>245.84399999999999</v>
      </c>
      <c r="L221" s="187">
        <f t="shared" si="50"/>
        <v>4.9433759999999998</v>
      </c>
      <c r="M221" s="187">
        <f t="shared" si="51"/>
        <v>7.1632799999999996E-2</v>
      </c>
      <c r="N221" s="187">
        <f t="shared" si="52"/>
        <v>0.32609159999999998</v>
      </c>
      <c r="O221" s="187">
        <f t="shared" si="53"/>
        <v>2.4945406185943476E-2</v>
      </c>
      <c r="P221" s="188">
        <f t="shared" si="54"/>
        <v>8.8420482110119888E+16</v>
      </c>
      <c r="Q221" s="187">
        <f t="shared" si="55"/>
        <v>6239.9999999999991</v>
      </c>
      <c r="R221" s="219">
        <f t="shared" si="56"/>
        <v>26.831999999999997</v>
      </c>
      <c r="S221" s="219">
        <f t="shared" si="57"/>
        <v>28.703999999999994</v>
      </c>
      <c r="T221" s="219">
        <f t="shared" si="58"/>
        <v>146.01599999999996</v>
      </c>
      <c r="U221" s="219">
        <f t="shared" si="59"/>
        <v>0.57641805169377691</v>
      </c>
      <c r="V221" s="188">
        <f t="shared" si="60"/>
        <v>4733112828991173</v>
      </c>
      <c r="W221" s="323">
        <v>1.1319999999999999</v>
      </c>
      <c r="X221" s="323">
        <v>0.93500000000000005</v>
      </c>
      <c r="Y221" s="323">
        <v>0.312</v>
      </c>
      <c r="Z221" s="323">
        <v>0.104</v>
      </c>
      <c r="AA221" s="323">
        <v>28</v>
      </c>
      <c r="AB221" s="323">
        <v>23.2</v>
      </c>
      <c r="AC221" s="323">
        <v>10</v>
      </c>
      <c r="AD221" s="323">
        <v>4.3</v>
      </c>
      <c r="AE221" s="323">
        <v>0.2</v>
      </c>
      <c r="AF221" s="323">
        <v>0.2</v>
      </c>
      <c r="AG221" s="323">
        <v>0.5</v>
      </c>
      <c r="AH221" s="323">
        <v>4.5999999999999996</v>
      </c>
      <c r="AI221" s="323">
        <v>0.9</v>
      </c>
      <c r="AJ221" s="323">
        <v>0.9</v>
      </c>
      <c r="AK221" s="323">
        <v>2.2999999999999998</v>
      </c>
      <c r="AL221" s="323">
        <v>23.4</v>
      </c>
      <c r="AM221" s="323">
        <v>3.9794503340500303E-2</v>
      </c>
      <c r="AN221" s="323">
        <v>4.0979892196937484E-2</v>
      </c>
      <c r="AO221" s="323">
        <v>1.1801012075009476E-2</v>
      </c>
      <c r="AP221" s="323">
        <v>1.5032687771438617E-2</v>
      </c>
      <c r="AQ221" s="323">
        <v>0.1117545033405003</v>
      </c>
      <c r="AR221" s="323">
        <v>0.10513989219693748</v>
      </c>
      <c r="AS221" s="323">
        <v>8.8886012075009457E-2</v>
      </c>
      <c r="AT221" s="323">
        <v>9.2374687771438618E-2</v>
      </c>
      <c r="AU221" s="190">
        <v>250991337151385.13</v>
      </c>
      <c r="AV221" s="190">
        <v>258467805234823.22</v>
      </c>
      <c r="AW221" s="190">
        <v>595449431817742.5</v>
      </c>
      <c r="AX221" s="190">
        <v>758511671312688.13</v>
      </c>
      <c r="AY221" s="203">
        <v>5.6</v>
      </c>
      <c r="AZ221" s="239">
        <v>120.11</v>
      </c>
      <c r="BA221" s="203">
        <v>1995</v>
      </c>
      <c r="BB221" s="204">
        <v>39294</v>
      </c>
      <c r="BC221" s="203" t="s">
        <v>3088</v>
      </c>
    </row>
    <row r="222" spans="1:55" x14ac:dyDescent="0.2">
      <c r="A222" s="184" t="s">
        <v>1269</v>
      </c>
      <c r="B222" s="184" t="s">
        <v>1268</v>
      </c>
      <c r="C222" s="184" t="s">
        <v>1052</v>
      </c>
      <c r="D222" s="185" t="s">
        <v>1043</v>
      </c>
      <c r="E222" s="184" t="s">
        <v>1270</v>
      </c>
      <c r="F222" s="184" t="s">
        <v>1270</v>
      </c>
      <c r="G222" s="186">
        <f>IF(ALECA_Input!$F$13="ICAO (3000ft)",'Aircraft Calc'!C$211,'Aircraft Calc'!G$211)</f>
        <v>0.7</v>
      </c>
      <c r="H222" s="186">
        <f>IF(ALECA_Input!$F$13="ICAO (3000ft)",'Aircraft Calc'!D$211,'Aircraft Calc'!H$211)</f>
        <v>2.2000000000000002</v>
      </c>
      <c r="I222" s="186">
        <f>IF(ALECA_Input!$F$13="ICAO (3000ft)",'Aircraft Calc'!E$211,'Aircraft Calc'!I$211)</f>
        <v>4</v>
      </c>
      <c r="J222" s="189">
        <v>1</v>
      </c>
      <c r="K222" s="187">
        <f t="shared" si="49"/>
        <v>298.50000000000006</v>
      </c>
      <c r="L222" s="187">
        <f t="shared" si="50"/>
        <v>4.9918320000000005</v>
      </c>
      <c r="M222" s="187">
        <f t="shared" si="51"/>
        <v>0.32937</v>
      </c>
      <c r="N222" s="187">
        <f t="shared" si="52"/>
        <v>2.2783380000000002</v>
      </c>
      <c r="O222" s="187">
        <f t="shared" si="53"/>
        <v>3.4609552669449171E-2</v>
      </c>
      <c r="P222" s="188">
        <f t="shared" si="54"/>
        <v>2.254736827433148E+16</v>
      </c>
      <c r="Q222" s="187">
        <f t="shared" si="55"/>
        <v>7800.0000000000009</v>
      </c>
      <c r="R222" s="219">
        <f t="shared" si="56"/>
        <v>32.760000000000005</v>
      </c>
      <c r="S222" s="219">
        <f t="shared" si="57"/>
        <v>21.060000000000002</v>
      </c>
      <c r="T222" s="219">
        <f t="shared" si="58"/>
        <v>276.90000000000003</v>
      </c>
      <c r="U222" s="219">
        <f t="shared" si="59"/>
        <v>0.70069914267355349</v>
      </c>
      <c r="V222" s="188">
        <f t="shared" si="60"/>
        <v>9529953430011932</v>
      </c>
      <c r="W222" s="323">
        <v>1.39</v>
      </c>
      <c r="X222" s="323">
        <v>1.1100000000000001</v>
      </c>
      <c r="Y222" s="323">
        <v>0.39</v>
      </c>
      <c r="Z222" s="323">
        <v>0.13</v>
      </c>
      <c r="AA222" s="323">
        <v>29.4</v>
      </c>
      <c r="AB222" s="323">
        <v>17.5</v>
      </c>
      <c r="AC222" s="323">
        <v>7.6</v>
      </c>
      <c r="AD222" s="323">
        <v>4.2</v>
      </c>
      <c r="AE222" s="323">
        <v>0.1</v>
      </c>
      <c r="AF222" s="323">
        <v>0.1</v>
      </c>
      <c r="AG222" s="323">
        <v>3.3</v>
      </c>
      <c r="AH222" s="323">
        <v>2.7</v>
      </c>
      <c r="AI222" s="323">
        <v>0.7</v>
      </c>
      <c r="AJ222" s="323">
        <v>1.6</v>
      </c>
      <c r="AK222" s="323">
        <v>21.4</v>
      </c>
      <c r="AL222" s="323">
        <v>35.5</v>
      </c>
      <c r="AM222" s="323">
        <v>2.2892570141976229E-3</v>
      </c>
      <c r="AN222" s="323">
        <v>2.1198158225478507E-3</v>
      </c>
      <c r="AO222" s="323">
        <v>4.1808593017157525E-3</v>
      </c>
      <c r="AP222" s="323">
        <v>2.4214223419686327E-2</v>
      </c>
      <c r="AQ222" s="323">
        <v>6.2749257014197618E-2</v>
      </c>
      <c r="AR222" s="323">
        <v>5.8679815822547859E-2</v>
      </c>
      <c r="AS222" s="323">
        <v>0.23876585930171576</v>
      </c>
      <c r="AT222" s="323">
        <v>8.9833223419686331E-2</v>
      </c>
      <c r="AU222" s="190">
        <v>14438769951725.326</v>
      </c>
      <c r="AV222" s="190">
        <v>13370072827984.17</v>
      </c>
      <c r="AW222" s="190">
        <v>210955660403776.84</v>
      </c>
      <c r="AX222" s="190">
        <v>1221788901283581</v>
      </c>
      <c r="AY222" s="203">
        <v>5.8</v>
      </c>
      <c r="AZ222" s="239">
        <v>137.9</v>
      </c>
      <c r="BA222" s="203">
        <v>1996</v>
      </c>
      <c r="BB222" s="204">
        <v>39296</v>
      </c>
      <c r="BC222" s="203" t="s">
        <v>1203</v>
      </c>
    </row>
    <row r="223" spans="1:55" x14ac:dyDescent="0.2">
      <c r="A223" s="184" t="s">
        <v>1272</v>
      </c>
      <c r="B223" s="184" t="s">
        <v>1271</v>
      </c>
      <c r="C223" s="184" t="s">
        <v>1052</v>
      </c>
      <c r="D223" s="185" t="s">
        <v>1043</v>
      </c>
      <c r="E223" s="184" t="s">
        <v>1273</v>
      </c>
      <c r="F223" s="184" t="s">
        <v>1273</v>
      </c>
      <c r="G223" s="186">
        <f>IF(ALECA_Input!$F$13="ICAO (3000ft)",'Aircraft Calc'!C$211,'Aircraft Calc'!G$211)</f>
        <v>0.7</v>
      </c>
      <c r="H223" s="186">
        <f>IF(ALECA_Input!$F$13="ICAO (3000ft)",'Aircraft Calc'!D$211,'Aircraft Calc'!H$211)</f>
        <v>2.2000000000000002</v>
      </c>
      <c r="I223" s="186">
        <f>IF(ALECA_Input!$F$13="ICAO (3000ft)",'Aircraft Calc'!E$211,'Aircraft Calc'!I$211)</f>
        <v>4</v>
      </c>
      <c r="J223" s="189">
        <v>1</v>
      </c>
      <c r="K223" s="187">
        <f t="shared" si="49"/>
        <v>195.858</v>
      </c>
      <c r="L223" s="187">
        <f t="shared" si="50"/>
        <v>2.8591745999999998</v>
      </c>
      <c r="M223" s="187">
        <f t="shared" si="51"/>
        <v>6.9889800000000002E-2</v>
      </c>
      <c r="N223" s="187">
        <f t="shared" si="52"/>
        <v>0.35161439999999999</v>
      </c>
      <c r="O223" s="187">
        <f t="shared" si="53"/>
        <v>2.007437418336688E-2</v>
      </c>
      <c r="P223" s="188">
        <f t="shared" si="54"/>
        <v>7.1537631875149624E+16</v>
      </c>
      <c r="Q223" s="187">
        <f t="shared" si="55"/>
        <v>5640</v>
      </c>
      <c r="R223" s="219">
        <f t="shared" si="56"/>
        <v>19.175999999999998</v>
      </c>
      <c r="S223" s="219">
        <f t="shared" si="57"/>
        <v>36.659999999999997</v>
      </c>
      <c r="T223" s="219">
        <f t="shared" si="58"/>
        <v>185.55599999999998</v>
      </c>
      <c r="U223" s="219">
        <f t="shared" si="59"/>
        <v>0.58711095903091381</v>
      </c>
      <c r="V223" s="188">
        <f t="shared" si="60"/>
        <v>4278005826203561</v>
      </c>
      <c r="W223" s="323">
        <v>0.875</v>
      </c>
      <c r="X223" s="323">
        <v>0.72899999999999998</v>
      </c>
      <c r="Y223" s="323">
        <v>0.26200000000000001</v>
      </c>
      <c r="Z223" s="323">
        <v>9.4E-2</v>
      </c>
      <c r="AA223" s="323">
        <v>19.7</v>
      </c>
      <c r="AB223" s="323">
        <v>16.7</v>
      </c>
      <c r="AC223" s="323">
        <v>8.4</v>
      </c>
      <c r="AD223" s="323">
        <v>3.4</v>
      </c>
      <c r="AE223" s="323">
        <v>0.1</v>
      </c>
      <c r="AF223" s="323">
        <v>0.1</v>
      </c>
      <c r="AG223" s="323">
        <v>0.9</v>
      </c>
      <c r="AH223" s="323">
        <v>6.5</v>
      </c>
      <c r="AI223" s="323">
        <v>0.8</v>
      </c>
      <c r="AJ223" s="323">
        <v>0.8</v>
      </c>
      <c r="AK223" s="323">
        <v>3.9</v>
      </c>
      <c r="AL223" s="323">
        <v>32.9</v>
      </c>
      <c r="AM223" s="323">
        <v>3.9794503340500303E-2</v>
      </c>
      <c r="AN223" s="323">
        <v>4.0979892196937484E-2</v>
      </c>
      <c r="AO223" s="323">
        <v>1.1801012075009476E-2</v>
      </c>
      <c r="AP223" s="323">
        <v>1.5032687771438617E-2</v>
      </c>
      <c r="AQ223" s="323">
        <v>0.1002545033405003</v>
      </c>
      <c r="AR223" s="323">
        <v>9.7539892196937483E-2</v>
      </c>
      <c r="AS223" s="323">
        <v>0.11138601207500946</v>
      </c>
      <c r="AT223" s="323">
        <v>0.10409768777143863</v>
      </c>
      <c r="AU223" s="190">
        <v>250991337151385.13</v>
      </c>
      <c r="AV223" s="190">
        <v>258467805234823.22</v>
      </c>
      <c r="AW223" s="190">
        <v>595449431817742.5</v>
      </c>
      <c r="AX223" s="190">
        <v>758511671312688.13</v>
      </c>
      <c r="AY223" s="203">
        <v>3.4</v>
      </c>
      <c r="AZ223" s="239">
        <v>94.7</v>
      </c>
      <c r="BA223" s="203">
        <v>1995</v>
      </c>
      <c r="BB223" s="204">
        <v>39294</v>
      </c>
      <c r="BC223" s="203" t="s">
        <v>3081</v>
      </c>
    </row>
    <row r="224" spans="1:55" x14ac:dyDescent="0.2">
      <c r="A224" s="184" t="s">
        <v>1275</v>
      </c>
      <c r="B224" s="184" t="s">
        <v>1274</v>
      </c>
      <c r="C224" s="184" t="s">
        <v>1052</v>
      </c>
      <c r="D224" s="185" t="s">
        <v>1043</v>
      </c>
      <c r="E224" s="184" t="s">
        <v>1276</v>
      </c>
      <c r="F224" s="184" t="s">
        <v>1276</v>
      </c>
      <c r="G224" s="186">
        <f>IF(ALECA_Input!$F$13="ICAO (3000ft)",'Aircraft Calc'!C$211,'Aircraft Calc'!G$211)</f>
        <v>0.7</v>
      </c>
      <c r="H224" s="186">
        <f>IF(ALECA_Input!$F$13="ICAO (3000ft)",'Aircraft Calc'!D$211,'Aircraft Calc'!H$211)</f>
        <v>2.2000000000000002</v>
      </c>
      <c r="I224" s="186">
        <f>IF(ALECA_Input!$F$13="ICAO (3000ft)",'Aircraft Calc'!E$211,'Aircraft Calc'!I$211)</f>
        <v>4</v>
      </c>
      <c r="J224" s="189">
        <v>1</v>
      </c>
      <c r="K224" s="187">
        <f t="shared" si="49"/>
        <v>204.17400000000001</v>
      </c>
      <c r="L224" s="187">
        <f t="shared" si="50"/>
        <v>2.2049179800000003</v>
      </c>
      <c r="M224" s="187">
        <f t="shared" si="51"/>
        <v>4.9565459999999999E-2</v>
      </c>
      <c r="N224" s="187">
        <f t="shared" si="52"/>
        <v>2.0527997999999998</v>
      </c>
      <c r="O224" s="187">
        <f t="shared" si="53"/>
        <v>1.4015833676630328E-2</v>
      </c>
      <c r="P224" s="188">
        <f t="shared" si="54"/>
        <v>1.6247118474767822E+16</v>
      </c>
      <c r="Q224" s="187">
        <f t="shared" si="55"/>
        <v>6119.9999999999991</v>
      </c>
      <c r="R224" s="219">
        <f t="shared" si="56"/>
        <v>22.949999999999996</v>
      </c>
      <c r="S224" s="219">
        <f t="shared" si="57"/>
        <v>49.633199999999988</v>
      </c>
      <c r="T224" s="219">
        <f t="shared" si="58"/>
        <v>304.22519999999997</v>
      </c>
      <c r="U224" s="219">
        <f t="shared" si="59"/>
        <v>0.68874471695722883</v>
      </c>
      <c r="V224" s="188">
        <f t="shared" si="60"/>
        <v>4181546948002755.5</v>
      </c>
      <c r="W224" s="323">
        <v>0.90300000000000002</v>
      </c>
      <c r="X224" s="323">
        <v>0.754</v>
      </c>
      <c r="Y224" s="323">
        <v>0.27800000000000002</v>
      </c>
      <c r="Z224" s="323">
        <v>0.10199999999999999</v>
      </c>
      <c r="AA224" s="323">
        <v>13.25</v>
      </c>
      <c r="AB224" s="323">
        <v>10.81</v>
      </c>
      <c r="AC224" s="323">
        <v>9.39</v>
      </c>
      <c r="AD224" s="323">
        <v>3.75</v>
      </c>
      <c r="AE224" s="323">
        <v>7.0000000000000007E-2</v>
      </c>
      <c r="AF224" s="323">
        <v>0.23</v>
      </c>
      <c r="AG224" s="323">
        <v>0.36</v>
      </c>
      <c r="AH224" s="323">
        <v>8.11</v>
      </c>
      <c r="AI224" s="323">
        <v>4.26</v>
      </c>
      <c r="AJ224" s="323">
        <v>11.38</v>
      </c>
      <c r="AK224" s="323">
        <v>11.37</v>
      </c>
      <c r="AL224" s="323">
        <v>49.71</v>
      </c>
      <c r="AM224" s="323">
        <v>2.2892570141976229E-3</v>
      </c>
      <c r="AN224" s="323">
        <v>2.5879310595952228E-3</v>
      </c>
      <c r="AO224" s="323">
        <v>4.1808593017157525E-3</v>
      </c>
      <c r="AP224" s="323">
        <v>1.3541286430919754E-2</v>
      </c>
      <c r="AQ224" s="323">
        <v>5.929925701419763E-2</v>
      </c>
      <c r="AR224" s="323">
        <v>6.9027931059595218E-2</v>
      </c>
      <c r="AS224" s="323">
        <v>7.3390859301715752E-2</v>
      </c>
      <c r="AT224" s="323">
        <v>0.11253998643091975</v>
      </c>
      <c r="AU224" s="190">
        <v>14438769951725.326</v>
      </c>
      <c r="AV224" s="190">
        <v>16322562730474.82</v>
      </c>
      <c r="AW224" s="190">
        <v>210955660403776.84</v>
      </c>
      <c r="AX224" s="190">
        <v>683259305229208.5</v>
      </c>
      <c r="AY224" s="203">
        <v>2.8</v>
      </c>
      <c r="AZ224" s="239">
        <v>91.63</v>
      </c>
      <c r="BA224" s="203">
        <v>1997</v>
      </c>
      <c r="BB224" s="204">
        <v>39296</v>
      </c>
      <c r="BC224" s="203" t="s">
        <v>3082</v>
      </c>
    </row>
    <row r="225" spans="1:55" x14ac:dyDescent="0.2">
      <c r="A225" s="184" t="s">
        <v>1278</v>
      </c>
      <c r="B225" s="184" t="s">
        <v>1277</v>
      </c>
      <c r="C225" s="184" t="s">
        <v>1052</v>
      </c>
      <c r="D225" s="185" t="s">
        <v>1043</v>
      </c>
      <c r="E225" s="184" t="s">
        <v>1279</v>
      </c>
      <c r="F225" s="184" t="s">
        <v>1279</v>
      </c>
      <c r="G225" s="186">
        <f>IF(ALECA_Input!$F$13="ICAO (3000ft)",'Aircraft Calc'!C$211,'Aircraft Calc'!G$211)</f>
        <v>0.7</v>
      </c>
      <c r="H225" s="186">
        <f>IF(ALECA_Input!$F$13="ICAO (3000ft)",'Aircraft Calc'!D$211,'Aircraft Calc'!H$211)</f>
        <v>2.2000000000000002</v>
      </c>
      <c r="I225" s="186">
        <f>IF(ALECA_Input!$F$13="ICAO (3000ft)",'Aircraft Calc'!E$211,'Aircraft Calc'!I$211)</f>
        <v>4</v>
      </c>
      <c r="J225" s="189">
        <v>1</v>
      </c>
      <c r="K225" s="187">
        <f t="shared" si="49"/>
        <v>225.54</v>
      </c>
      <c r="L225" s="187">
        <f t="shared" si="50"/>
        <v>2.4451387200000001</v>
      </c>
      <c r="M225" s="187">
        <f t="shared" si="51"/>
        <v>0.45427175999999997</v>
      </c>
      <c r="N225" s="187">
        <f t="shared" si="52"/>
        <v>3.0641436</v>
      </c>
      <c r="O225" s="187">
        <f t="shared" si="53"/>
        <v>3.7471065125081297E-2</v>
      </c>
      <c r="P225" s="188">
        <f t="shared" si="54"/>
        <v>1.3141869683441492E+16</v>
      </c>
      <c r="Q225" s="187">
        <f t="shared" si="55"/>
        <v>6300</v>
      </c>
      <c r="R225" s="219">
        <f t="shared" si="56"/>
        <v>24.821999999999999</v>
      </c>
      <c r="S225" s="219">
        <f t="shared" si="57"/>
        <v>45.738</v>
      </c>
      <c r="T225" s="219">
        <f t="shared" si="58"/>
        <v>285.70499999999998</v>
      </c>
      <c r="U225" s="219">
        <f t="shared" si="59"/>
        <v>0.63143807855958067</v>
      </c>
      <c r="V225" s="188">
        <f t="shared" si="60"/>
        <v>2057990339531941.3</v>
      </c>
      <c r="W225" s="323">
        <v>1.008</v>
      </c>
      <c r="X225" s="323">
        <v>0.83699999999999997</v>
      </c>
      <c r="Y225" s="323">
        <v>0.30299999999999999</v>
      </c>
      <c r="Z225" s="323">
        <v>0.105</v>
      </c>
      <c r="AA225" s="323">
        <v>15.08</v>
      </c>
      <c r="AB225" s="323">
        <v>12.16</v>
      </c>
      <c r="AC225" s="323">
        <v>6.37</v>
      </c>
      <c r="AD225" s="323">
        <v>3.94</v>
      </c>
      <c r="AE225" s="323">
        <v>0.06</v>
      </c>
      <c r="AF225" s="323">
        <v>0.1</v>
      </c>
      <c r="AG225" s="323">
        <v>6.06</v>
      </c>
      <c r="AH225" s="323">
        <v>7.26</v>
      </c>
      <c r="AI225" s="323">
        <v>2.1800000000000002</v>
      </c>
      <c r="AJ225" s="323">
        <v>6.58</v>
      </c>
      <c r="AK225" s="323">
        <v>30.87</v>
      </c>
      <c r="AL225" s="323">
        <v>45.35</v>
      </c>
      <c r="AM225" s="323">
        <v>1.6944247675704615E-3</v>
      </c>
      <c r="AN225" s="323">
        <v>1.915492431364226E-3</v>
      </c>
      <c r="AO225" s="323">
        <v>3.0945199715976357E-3</v>
      </c>
      <c r="AP225" s="323">
        <v>6.4740664380286746E-3</v>
      </c>
      <c r="AQ225" s="323">
        <v>5.7554424767570458E-2</v>
      </c>
      <c r="AR225" s="323">
        <v>5.8475492431364233E-2</v>
      </c>
      <c r="AS225" s="323">
        <v>0.3929295199715977</v>
      </c>
      <c r="AT225" s="323">
        <v>0.10022826643802868</v>
      </c>
      <c r="AU225" s="190">
        <v>10687052291518.518</v>
      </c>
      <c r="AV225" s="190">
        <v>12081367181234.949</v>
      </c>
      <c r="AW225" s="190">
        <v>156141706077780.56</v>
      </c>
      <c r="AX225" s="190">
        <v>326665133259038.31</v>
      </c>
      <c r="AY225" s="203">
        <v>3.1</v>
      </c>
      <c r="AZ225" s="239">
        <v>100.97</v>
      </c>
      <c r="BA225" s="203">
        <v>1997</v>
      </c>
      <c r="BB225" s="204">
        <v>39296</v>
      </c>
      <c r="BC225" s="203" t="s">
        <v>3082</v>
      </c>
    </row>
    <row r="226" spans="1:55" x14ac:dyDescent="0.2">
      <c r="A226" s="184" t="s">
        <v>1281</v>
      </c>
      <c r="B226" s="184" t="s">
        <v>1280</v>
      </c>
      <c r="C226" s="184" t="s">
        <v>1052</v>
      </c>
      <c r="D226" s="185" t="s">
        <v>1043</v>
      </c>
      <c r="E226" s="184" t="s">
        <v>1282</v>
      </c>
      <c r="F226" s="184" t="s">
        <v>1282</v>
      </c>
      <c r="G226" s="186">
        <f>IF(ALECA_Input!$F$13="ICAO (3000ft)",'Aircraft Calc'!C$211,'Aircraft Calc'!G$211)</f>
        <v>0.7</v>
      </c>
      <c r="H226" s="186">
        <f>IF(ALECA_Input!$F$13="ICAO (3000ft)",'Aircraft Calc'!D$211,'Aircraft Calc'!H$211)</f>
        <v>2.2000000000000002</v>
      </c>
      <c r="I226" s="186">
        <f>IF(ALECA_Input!$F$13="ICAO (3000ft)",'Aircraft Calc'!E$211,'Aircraft Calc'!I$211)</f>
        <v>4</v>
      </c>
      <c r="J226" s="189">
        <v>1</v>
      </c>
      <c r="K226" s="187">
        <f t="shared" si="49"/>
        <v>239.92200000000003</v>
      </c>
      <c r="L226" s="187">
        <f t="shared" si="50"/>
        <v>2.8406460600000001</v>
      </c>
      <c r="M226" s="187">
        <f t="shared" si="51"/>
        <v>0.46209257999999998</v>
      </c>
      <c r="N226" s="187">
        <f t="shared" si="52"/>
        <v>2.8527320400000002</v>
      </c>
      <c r="O226" s="187">
        <f t="shared" si="53"/>
        <v>3.8576276231133515E-2</v>
      </c>
      <c r="P226" s="188">
        <f t="shared" si="54"/>
        <v>1.3656625260338908E+16</v>
      </c>
      <c r="Q226" s="187">
        <f t="shared" si="55"/>
        <v>6540</v>
      </c>
      <c r="R226" s="219">
        <f t="shared" si="56"/>
        <v>26.683199999999999</v>
      </c>
      <c r="S226" s="219">
        <f t="shared" si="57"/>
        <v>42.836999999999996</v>
      </c>
      <c r="T226" s="219">
        <f t="shared" si="58"/>
        <v>279.3888</v>
      </c>
      <c r="U226" s="219">
        <f t="shared" si="59"/>
        <v>0.6268430845047076</v>
      </c>
      <c r="V226" s="188">
        <f t="shared" si="60"/>
        <v>2136389971514110.5</v>
      </c>
      <c r="W226" s="323">
        <v>1.089</v>
      </c>
      <c r="X226" s="323">
        <v>0.90200000000000002</v>
      </c>
      <c r="Y226" s="323">
        <v>0.313</v>
      </c>
      <c r="Z226" s="323">
        <v>0.109</v>
      </c>
      <c r="AA226" s="323">
        <v>16.63</v>
      </c>
      <c r="AB226" s="323">
        <v>13.23</v>
      </c>
      <c r="AC226" s="323">
        <v>6.72</v>
      </c>
      <c r="AD226" s="323">
        <v>4.08</v>
      </c>
      <c r="AE226" s="323">
        <v>0.05</v>
      </c>
      <c r="AF226" s="323">
        <v>7.0000000000000007E-2</v>
      </c>
      <c r="AG226" s="323">
        <v>6.01</v>
      </c>
      <c r="AH226" s="323">
        <v>6.55</v>
      </c>
      <c r="AI226" s="323">
        <v>1.38</v>
      </c>
      <c r="AJ226" s="323">
        <v>4.3</v>
      </c>
      <c r="AK226" s="323">
        <v>30.32</v>
      </c>
      <c r="AL226" s="323">
        <v>42.72</v>
      </c>
      <c r="AM226" s="323">
        <v>1.6944247675704615E-3</v>
      </c>
      <c r="AN226" s="323">
        <v>1.915492431364226E-3</v>
      </c>
      <c r="AO226" s="323">
        <v>3.0945199715976357E-3</v>
      </c>
      <c r="AP226" s="323">
        <v>6.4740664380286746E-3</v>
      </c>
      <c r="AQ226" s="323">
        <v>5.6404424767570453E-2</v>
      </c>
      <c r="AR226" s="323">
        <v>5.6195492431364236E-2</v>
      </c>
      <c r="AS226" s="323">
        <v>0.3901170199715977</v>
      </c>
      <c r="AT226" s="323">
        <v>9.5847566438028678E-2</v>
      </c>
      <c r="AU226" s="190">
        <v>10687052291518.518</v>
      </c>
      <c r="AV226" s="190">
        <v>12081367181234.949</v>
      </c>
      <c r="AW226" s="190">
        <v>156141706077780.56</v>
      </c>
      <c r="AX226" s="190">
        <v>326665133259038.31</v>
      </c>
      <c r="AY226" s="203">
        <v>3.5</v>
      </c>
      <c r="AZ226" s="239">
        <v>107.65</v>
      </c>
      <c r="BA226" s="203">
        <v>1997</v>
      </c>
      <c r="BB226" s="204">
        <v>39296</v>
      </c>
      <c r="BC226" s="203" t="s">
        <v>3082</v>
      </c>
    </row>
    <row r="227" spans="1:55" x14ac:dyDescent="0.2">
      <c r="A227" s="184" t="s">
        <v>1284</v>
      </c>
      <c r="B227" s="184" t="s">
        <v>1283</v>
      </c>
      <c r="C227" s="184" t="s">
        <v>1052</v>
      </c>
      <c r="D227" s="185" t="s">
        <v>1043</v>
      </c>
      <c r="E227" s="184" t="s">
        <v>1285</v>
      </c>
      <c r="F227" s="184" t="s">
        <v>1285</v>
      </c>
      <c r="G227" s="186">
        <f>IF(ALECA_Input!$F$13="ICAO (3000ft)",'Aircraft Calc'!C$211,'Aircraft Calc'!G$211)</f>
        <v>0.7</v>
      </c>
      <c r="H227" s="186">
        <f>IF(ALECA_Input!$F$13="ICAO (3000ft)",'Aircraft Calc'!D$211,'Aircraft Calc'!H$211)</f>
        <v>2.2000000000000002</v>
      </c>
      <c r="I227" s="186">
        <f>IF(ALECA_Input!$F$13="ICAO (3000ft)",'Aircraft Calc'!E$211,'Aircraft Calc'!I$211)</f>
        <v>4</v>
      </c>
      <c r="J227" s="189">
        <v>1</v>
      </c>
      <c r="K227" s="187">
        <f t="shared" si="49"/>
        <v>261.23400000000004</v>
      </c>
      <c r="L227" s="187">
        <f t="shared" si="50"/>
        <v>3.4802547600000002</v>
      </c>
      <c r="M227" s="187">
        <f t="shared" si="51"/>
        <v>0.38850546000000008</v>
      </c>
      <c r="N227" s="187">
        <f t="shared" si="52"/>
        <v>2.4563517000000004</v>
      </c>
      <c r="O227" s="187">
        <f t="shared" si="53"/>
        <v>3.547093315265927E-2</v>
      </c>
      <c r="P227" s="188">
        <f t="shared" si="54"/>
        <v>1.4633491486052016E+16</v>
      </c>
      <c r="Q227" s="187">
        <f t="shared" si="55"/>
        <v>6780</v>
      </c>
      <c r="R227" s="219">
        <f t="shared" si="56"/>
        <v>28.950599999999998</v>
      </c>
      <c r="S227" s="219">
        <f t="shared" si="57"/>
        <v>39.866399999999999</v>
      </c>
      <c r="T227" s="219">
        <f t="shared" si="58"/>
        <v>270.72540000000004</v>
      </c>
      <c r="U227" s="219">
        <f t="shared" si="59"/>
        <v>0.62181865844983442</v>
      </c>
      <c r="V227" s="188">
        <f t="shared" si="60"/>
        <v>2214789603496279.8</v>
      </c>
      <c r="W227" s="323">
        <v>1.2030000000000001</v>
      </c>
      <c r="X227" s="323">
        <v>0.98899999999999999</v>
      </c>
      <c r="Y227" s="323">
        <v>0.33400000000000002</v>
      </c>
      <c r="Z227" s="323">
        <v>0.113</v>
      </c>
      <c r="AA227" s="323">
        <v>19.2</v>
      </c>
      <c r="AB227" s="323">
        <v>14.77</v>
      </c>
      <c r="AC227" s="323">
        <v>7.26</v>
      </c>
      <c r="AD227" s="323">
        <v>4.2699999999999996</v>
      </c>
      <c r="AE227" s="323">
        <v>0.03</v>
      </c>
      <c r="AF227" s="323">
        <v>0.06</v>
      </c>
      <c r="AG227" s="323">
        <v>4.7300000000000004</v>
      </c>
      <c r="AH227" s="323">
        <v>5.88</v>
      </c>
      <c r="AI227" s="323">
        <v>0.77</v>
      </c>
      <c r="AJ227" s="323">
        <v>2.5099999999999998</v>
      </c>
      <c r="AK227" s="323">
        <v>26.07</v>
      </c>
      <c r="AL227" s="323">
        <v>39.93</v>
      </c>
      <c r="AM227" s="323">
        <v>1.6944247675704615E-3</v>
      </c>
      <c r="AN227" s="323">
        <v>1.915492431364226E-3</v>
      </c>
      <c r="AO227" s="323">
        <v>3.0945199715976357E-3</v>
      </c>
      <c r="AP227" s="323">
        <v>6.4740664380286746E-3</v>
      </c>
      <c r="AQ227" s="323">
        <v>5.4104424767570464E-2</v>
      </c>
      <c r="AR227" s="323">
        <v>5.5435492431364232E-2</v>
      </c>
      <c r="AS227" s="323">
        <v>0.31811701997159764</v>
      </c>
      <c r="AT227" s="323">
        <v>9.1713666438028668E-2</v>
      </c>
      <c r="AU227" s="190">
        <v>10687052291518.518</v>
      </c>
      <c r="AV227" s="190">
        <v>12081367181234.949</v>
      </c>
      <c r="AW227" s="190">
        <v>156141706077780.56</v>
      </c>
      <c r="AX227" s="190">
        <v>326665133259038.31</v>
      </c>
      <c r="AY227" s="203">
        <v>4.2</v>
      </c>
      <c r="AZ227" s="239">
        <v>116.99</v>
      </c>
      <c r="BA227" s="203">
        <v>1997</v>
      </c>
      <c r="BB227" s="204">
        <v>39296</v>
      </c>
      <c r="BC227" s="203" t="s">
        <v>3082</v>
      </c>
    </row>
    <row r="228" spans="1:55" x14ac:dyDescent="0.2">
      <c r="A228" s="184" t="s">
        <v>1287</v>
      </c>
      <c r="B228" s="184" t="s">
        <v>1286</v>
      </c>
      <c r="C228" s="184" t="s">
        <v>1052</v>
      </c>
      <c r="D228" s="185" t="s">
        <v>1043</v>
      </c>
      <c r="E228" s="184" t="s">
        <v>1288</v>
      </c>
      <c r="F228" s="184" t="s">
        <v>1288</v>
      </c>
      <c r="G228" s="186">
        <f>IF(ALECA_Input!$F$13="ICAO (3000ft)",'Aircraft Calc'!C$211,'Aircraft Calc'!G$211)</f>
        <v>0.7</v>
      </c>
      <c r="H228" s="186">
        <f>IF(ALECA_Input!$F$13="ICAO (3000ft)",'Aircraft Calc'!D$211,'Aircraft Calc'!H$211)</f>
        <v>2.2000000000000002</v>
      </c>
      <c r="I228" s="186">
        <f>IF(ALECA_Input!$F$13="ICAO (3000ft)",'Aircraft Calc'!E$211,'Aircraft Calc'!I$211)</f>
        <v>4</v>
      </c>
      <c r="J228" s="189">
        <v>1</v>
      </c>
      <c r="K228" s="187">
        <f t="shared" si="49"/>
        <v>273.726</v>
      </c>
      <c r="L228" s="187">
        <f t="shared" si="50"/>
        <v>3.8657525399999995</v>
      </c>
      <c r="M228" s="187">
        <f t="shared" si="51"/>
        <v>0.36548825999999995</v>
      </c>
      <c r="N228" s="187">
        <f t="shared" si="52"/>
        <v>2.3426587199999998</v>
      </c>
      <c r="O228" s="187">
        <f t="shared" si="53"/>
        <v>3.4915284172948653E-2</v>
      </c>
      <c r="P228" s="188">
        <f t="shared" si="54"/>
        <v>1.6006433226328376E+16</v>
      </c>
      <c r="Q228" s="187">
        <f t="shared" si="55"/>
        <v>6900</v>
      </c>
      <c r="R228" s="219">
        <f t="shared" si="56"/>
        <v>30.084000000000003</v>
      </c>
      <c r="S228" s="219">
        <f t="shared" si="57"/>
        <v>38.363999999999997</v>
      </c>
      <c r="T228" s="219">
        <f t="shared" si="58"/>
        <v>267.23699999999997</v>
      </c>
      <c r="U228" s="219">
        <f t="shared" si="59"/>
        <v>0.62370266922339235</v>
      </c>
      <c r="V228" s="188">
        <f t="shared" si="60"/>
        <v>2481135449896493.5</v>
      </c>
      <c r="W228" s="323">
        <v>1.2649999999999999</v>
      </c>
      <c r="X228" s="323">
        <v>1.0329999999999999</v>
      </c>
      <c r="Y228" s="323">
        <v>0.35099999999999998</v>
      </c>
      <c r="Z228" s="323">
        <v>0.115</v>
      </c>
      <c r="AA228" s="323">
        <v>20.81</v>
      </c>
      <c r="AB228" s="323">
        <v>15.59</v>
      </c>
      <c r="AC228" s="323">
        <v>7.53</v>
      </c>
      <c r="AD228" s="323">
        <v>4.3600000000000003</v>
      </c>
      <c r="AE228" s="323">
        <v>0.05</v>
      </c>
      <c r="AF228" s="323">
        <v>0.06</v>
      </c>
      <c r="AG228" s="323">
        <v>4.21</v>
      </c>
      <c r="AH228" s="323">
        <v>5.56</v>
      </c>
      <c r="AI228" s="323">
        <v>0.54</v>
      </c>
      <c r="AJ228" s="323">
        <v>1.97</v>
      </c>
      <c r="AK228" s="323">
        <v>24.28</v>
      </c>
      <c r="AL228" s="323">
        <v>38.729999999999997</v>
      </c>
      <c r="AM228" s="323">
        <v>1.7647534506188139E-3</v>
      </c>
      <c r="AN228" s="323">
        <v>1.994996734337849E-3</v>
      </c>
      <c r="AO228" s="323">
        <v>3.2229609141727006E-3</v>
      </c>
      <c r="AP228" s="323">
        <v>7.126491191795991E-3</v>
      </c>
      <c r="AQ228" s="323">
        <v>5.6474753450618816E-2</v>
      </c>
      <c r="AR228" s="323">
        <v>5.5514996734337858E-2</v>
      </c>
      <c r="AS228" s="323">
        <v>0.28899546091417266</v>
      </c>
      <c r="AT228" s="323">
        <v>9.0391691191795992E-2</v>
      </c>
      <c r="AU228" s="190">
        <v>11130628381597.195</v>
      </c>
      <c r="AV228" s="190">
        <v>12582815613494.43</v>
      </c>
      <c r="AW228" s="190">
        <v>162622513468903.97</v>
      </c>
      <c r="AX228" s="190">
        <v>359584847811086</v>
      </c>
      <c r="AY228" s="203">
        <v>4.5999999999999996</v>
      </c>
      <c r="AZ228" s="239">
        <v>121.44</v>
      </c>
      <c r="BA228" s="203">
        <v>1997</v>
      </c>
      <c r="BB228" s="204">
        <v>39296</v>
      </c>
      <c r="BC228" s="203" t="s">
        <v>3082</v>
      </c>
    </row>
    <row r="229" spans="1:55" s="231" customFormat="1" x14ac:dyDescent="0.2">
      <c r="A229" s="231" t="s">
        <v>1290</v>
      </c>
      <c r="B229" s="231" t="s">
        <v>1289</v>
      </c>
      <c r="C229" s="231" t="s">
        <v>1052</v>
      </c>
      <c r="D229" s="232" t="s">
        <v>1043</v>
      </c>
      <c r="E229" s="231" t="s">
        <v>1291</v>
      </c>
      <c r="F229" s="231" t="s">
        <v>1291</v>
      </c>
      <c r="G229" s="186">
        <f>IF(ALECA_Input!$F$13="ICAO (3000ft)",'Aircraft Calc'!C$211,'Aircraft Calc'!G$211)</f>
        <v>0.7</v>
      </c>
      <c r="H229" s="186">
        <f>IF(ALECA_Input!$F$13="ICAO (3000ft)",'Aircraft Calc'!D$211,'Aircraft Calc'!H$211)</f>
        <v>2.2000000000000002</v>
      </c>
      <c r="I229" s="186">
        <f>IF(ALECA_Input!$F$13="ICAO (3000ft)",'Aircraft Calc'!E$211,'Aircraft Calc'!I$211)</f>
        <v>4</v>
      </c>
      <c r="J229" s="189">
        <v>1</v>
      </c>
      <c r="K229" s="219">
        <f t="shared" si="49"/>
        <v>247.75199999999998</v>
      </c>
      <c r="L229" s="219">
        <f t="shared" si="50"/>
        <v>3.8413915200000002</v>
      </c>
      <c r="M229" s="219">
        <f t="shared" si="51"/>
        <v>7.2302400000000006E-3</v>
      </c>
      <c r="N229" s="219">
        <f t="shared" si="52"/>
        <v>0.27754428000000003</v>
      </c>
      <c r="O229" s="219">
        <f t="shared" si="53"/>
        <v>2.6052121769597186E-2</v>
      </c>
      <c r="P229" s="233">
        <f t="shared" si="54"/>
        <v>1.4342922722570544E+17</v>
      </c>
      <c r="Q229" s="219">
        <f t="shared" si="55"/>
        <v>6119.9999999999991</v>
      </c>
      <c r="R229" s="219">
        <f t="shared" si="56"/>
        <v>25.826399999999996</v>
      </c>
      <c r="S229" s="219">
        <f t="shared" si="57"/>
        <v>11.750399999999997</v>
      </c>
      <c r="T229" s="219">
        <f t="shared" si="58"/>
        <v>196.26839999999999</v>
      </c>
      <c r="U229" s="219">
        <f t="shared" si="59"/>
        <v>0.50379959400829011</v>
      </c>
      <c r="V229" s="233">
        <f t="shared" si="60"/>
        <v>6643456269591406</v>
      </c>
      <c r="W229" s="324">
        <v>1.1419999999999999</v>
      </c>
      <c r="X229" s="324">
        <v>0.93899999999999995</v>
      </c>
      <c r="Y229" s="324">
        <v>0.316</v>
      </c>
      <c r="Z229" s="324">
        <v>0.10199999999999999</v>
      </c>
      <c r="AA229" s="324">
        <v>21.57</v>
      </c>
      <c r="AB229" s="324">
        <v>17.23</v>
      </c>
      <c r="AC229" s="324">
        <v>8.85</v>
      </c>
      <c r="AD229" s="324">
        <v>4.22</v>
      </c>
      <c r="AE229" s="324">
        <v>0.02</v>
      </c>
      <c r="AF229" s="324">
        <v>0.02</v>
      </c>
      <c r="AG229" s="324">
        <v>0.05</v>
      </c>
      <c r="AH229" s="324">
        <v>1.92</v>
      </c>
      <c r="AI229" s="324">
        <v>0.25</v>
      </c>
      <c r="AJ229" s="324">
        <v>0.16</v>
      </c>
      <c r="AK229" s="324">
        <v>3.24</v>
      </c>
      <c r="AL229" s="324">
        <v>32.07</v>
      </c>
      <c r="AM229" s="324">
        <v>7.7259706051682489E-2</v>
      </c>
      <c r="AN229" s="324">
        <v>6.7540914286536302E-2</v>
      </c>
      <c r="AO229" s="324">
        <v>1.7575420682313912E-2</v>
      </c>
      <c r="AP229" s="324">
        <v>2.1513795099393822E-2</v>
      </c>
      <c r="AQ229" s="324">
        <v>0.12851970605168248</v>
      </c>
      <c r="AR229" s="324">
        <v>0.1180209142865363</v>
      </c>
      <c r="AS229" s="324">
        <v>6.9347920682313907E-2</v>
      </c>
      <c r="AT229" s="324">
        <v>8.2320195099393811E-2</v>
      </c>
      <c r="AU229" s="319">
        <v>487291341819544.81</v>
      </c>
      <c r="AV229" s="319">
        <v>425993113776394.06</v>
      </c>
      <c r="AW229" s="319">
        <v>886811588084339.5</v>
      </c>
      <c r="AX229" s="319">
        <v>1085532070194674.3</v>
      </c>
      <c r="AY229" s="234">
        <v>4.5</v>
      </c>
      <c r="AZ229" s="240">
        <v>120.1</v>
      </c>
      <c r="BA229" s="234">
        <v>2006</v>
      </c>
      <c r="BB229" s="235">
        <v>39294</v>
      </c>
      <c r="BC229" s="234" t="s">
        <v>1105</v>
      </c>
    </row>
    <row r="230" spans="1:55" x14ac:dyDescent="0.2">
      <c r="A230" s="184" t="s">
        <v>1293</v>
      </c>
      <c r="B230" s="184" t="s">
        <v>1292</v>
      </c>
      <c r="C230" s="184" t="s">
        <v>1052</v>
      </c>
      <c r="D230" s="185" t="s">
        <v>1043</v>
      </c>
      <c r="E230" s="184" t="s">
        <v>1294</v>
      </c>
      <c r="F230" s="184" t="s">
        <v>1294</v>
      </c>
      <c r="G230" s="186">
        <f>IF(ALECA_Input!$F$13="ICAO (3000ft)",'Aircraft Calc'!C$211,'Aircraft Calc'!G$211)</f>
        <v>0.7</v>
      </c>
      <c r="H230" s="186">
        <f>IF(ALECA_Input!$F$13="ICAO (3000ft)",'Aircraft Calc'!D$211,'Aircraft Calc'!H$211)</f>
        <v>2.2000000000000002</v>
      </c>
      <c r="I230" s="186">
        <f>IF(ALECA_Input!$F$13="ICAO (3000ft)",'Aircraft Calc'!E$211,'Aircraft Calc'!I$211)</f>
        <v>4</v>
      </c>
      <c r="J230" s="189">
        <v>1</v>
      </c>
      <c r="K230" s="187">
        <f t="shared" si="49"/>
        <v>198.98400000000004</v>
      </c>
      <c r="L230" s="187">
        <f t="shared" si="50"/>
        <v>2.4993637199999998</v>
      </c>
      <c r="M230" s="187">
        <f t="shared" si="51"/>
        <v>9.1375200000000014E-3</v>
      </c>
      <c r="N230" s="187">
        <f t="shared" si="52"/>
        <v>0.33824580000000004</v>
      </c>
      <c r="O230" s="187">
        <f t="shared" si="53"/>
        <v>1.9367904711881438E-2</v>
      </c>
      <c r="P230" s="188">
        <f t="shared" si="54"/>
        <v>1.0392924111699312E+17</v>
      </c>
      <c r="Q230" s="187">
        <f t="shared" si="55"/>
        <v>5520</v>
      </c>
      <c r="R230" s="219">
        <f t="shared" si="56"/>
        <v>21.031199999999998</v>
      </c>
      <c r="S230" s="219">
        <f t="shared" si="57"/>
        <v>19.595999999999997</v>
      </c>
      <c r="T230" s="219">
        <f t="shared" si="58"/>
        <v>230.57040000000001</v>
      </c>
      <c r="U230" s="219">
        <f t="shared" si="59"/>
        <v>0.5099226689486539</v>
      </c>
      <c r="V230" s="188">
        <f t="shared" si="60"/>
        <v>5992137027474601</v>
      </c>
      <c r="W230" s="323">
        <v>0.89400000000000002</v>
      </c>
      <c r="X230" s="323">
        <v>0.74299999999999999</v>
      </c>
      <c r="Y230" s="323">
        <v>0.26400000000000001</v>
      </c>
      <c r="Z230" s="323">
        <v>9.1999999999999998E-2</v>
      </c>
      <c r="AA230" s="323">
        <v>16.420000000000002</v>
      </c>
      <c r="AB230" s="323">
        <v>14.01</v>
      </c>
      <c r="AC230" s="323">
        <v>8.0299999999999994</v>
      </c>
      <c r="AD230" s="323">
        <v>3.81</v>
      </c>
      <c r="AE230" s="323">
        <v>0.03</v>
      </c>
      <c r="AF230" s="323">
        <v>0.03</v>
      </c>
      <c r="AG230" s="323">
        <v>0.08</v>
      </c>
      <c r="AH230" s="323">
        <v>3.55</v>
      </c>
      <c r="AI230" s="323">
        <v>0.15</v>
      </c>
      <c r="AJ230" s="323">
        <v>0.2</v>
      </c>
      <c r="AK230" s="323">
        <v>4.9400000000000004</v>
      </c>
      <c r="AL230" s="323">
        <v>41.77</v>
      </c>
      <c r="AM230" s="323">
        <v>5.8901230878860414E-2</v>
      </c>
      <c r="AN230" s="323">
        <v>5.817605026410174E-2</v>
      </c>
      <c r="AO230" s="323">
        <v>1.688883316193094E-2</v>
      </c>
      <c r="AP230" s="323">
        <v>2.1513795099393822E-2</v>
      </c>
      <c r="AQ230" s="323">
        <v>0.11131123087886041</v>
      </c>
      <c r="AR230" s="323">
        <v>0.10941605026410173</v>
      </c>
      <c r="AS230" s="323">
        <v>7.034883316193094E-2</v>
      </c>
      <c r="AT230" s="323">
        <v>9.2377295099393825E-2</v>
      </c>
      <c r="AU230" s="190">
        <v>371501022934032.44</v>
      </c>
      <c r="AV230" s="190">
        <v>366927173862035.06</v>
      </c>
      <c r="AW230" s="190">
        <v>852168106126469.88</v>
      </c>
      <c r="AX230" s="190">
        <v>1085532070194674.3</v>
      </c>
      <c r="AY230" s="203">
        <v>3</v>
      </c>
      <c r="AZ230" s="239">
        <v>97.9</v>
      </c>
      <c r="BA230" s="203">
        <v>2006</v>
      </c>
      <c r="BB230" s="204">
        <v>41369</v>
      </c>
      <c r="BC230" s="203" t="s">
        <v>1105</v>
      </c>
    </row>
    <row r="231" spans="1:55" x14ac:dyDescent="0.2">
      <c r="A231" s="184" t="s">
        <v>1296</v>
      </c>
      <c r="B231" s="184" t="s">
        <v>1295</v>
      </c>
      <c r="C231" s="184" t="s">
        <v>1052</v>
      </c>
      <c r="D231" s="185" t="s">
        <v>1043</v>
      </c>
      <c r="E231" s="184" t="s">
        <v>1297</v>
      </c>
      <c r="F231" s="184" t="s">
        <v>1297</v>
      </c>
      <c r="G231" s="186">
        <f>IF(ALECA_Input!$F$13="ICAO (3000ft)",'Aircraft Calc'!C$211,'Aircraft Calc'!G$211)</f>
        <v>0.7</v>
      </c>
      <c r="H231" s="186">
        <f>IF(ALECA_Input!$F$13="ICAO (3000ft)",'Aircraft Calc'!D$211,'Aircraft Calc'!H$211)</f>
        <v>2.2000000000000002</v>
      </c>
      <c r="I231" s="186">
        <f>IF(ALECA_Input!$F$13="ICAO (3000ft)",'Aircraft Calc'!E$211,'Aircraft Calc'!I$211)</f>
        <v>4</v>
      </c>
      <c r="J231" s="189">
        <v>1</v>
      </c>
      <c r="K231" s="187">
        <f t="shared" si="49"/>
        <v>213.09</v>
      </c>
      <c r="L231" s="187">
        <f t="shared" si="50"/>
        <v>2.8450232999999998</v>
      </c>
      <c r="M231" s="187">
        <f t="shared" si="51"/>
        <v>8.6658000000000013E-3</v>
      </c>
      <c r="N231" s="187">
        <f t="shared" si="52"/>
        <v>0.31611810000000001</v>
      </c>
      <c r="O231" s="187">
        <f t="shared" si="53"/>
        <v>2.1202340708416714E-2</v>
      </c>
      <c r="P231" s="188">
        <f t="shared" si="54"/>
        <v>1.1408404224126358E+17</v>
      </c>
      <c r="Q231" s="187">
        <f t="shared" si="55"/>
        <v>5700</v>
      </c>
      <c r="R231" s="219">
        <f t="shared" si="56"/>
        <v>22.458000000000002</v>
      </c>
      <c r="S231" s="219">
        <f t="shared" si="57"/>
        <v>16.701000000000001</v>
      </c>
      <c r="T231" s="219">
        <f t="shared" si="58"/>
        <v>218.82300000000001</v>
      </c>
      <c r="U231" s="219">
        <f t="shared" si="59"/>
        <v>0.50474580206654496</v>
      </c>
      <c r="V231" s="188">
        <f t="shared" si="60"/>
        <v>6187532800109643</v>
      </c>
      <c r="W231" s="323">
        <v>0.96499999999999997</v>
      </c>
      <c r="X231" s="323">
        <v>0.8</v>
      </c>
      <c r="Y231" s="323">
        <v>0.27900000000000003</v>
      </c>
      <c r="Z231" s="323">
        <v>9.5000000000000001E-2</v>
      </c>
      <c r="AA231" s="323">
        <v>17.73</v>
      </c>
      <c r="AB231" s="323">
        <v>14.88</v>
      </c>
      <c r="AC231" s="323">
        <v>8.2899999999999991</v>
      </c>
      <c r="AD231" s="323">
        <v>3.94</v>
      </c>
      <c r="AE231" s="323">
        <v>0.02</v>
      </c>
      <c r="AF231" s="323">
        <v>0.03</v>
      </c>
      <c r="AG231" s="323">
        <v>7.0000000000000007E-2</v>
      </c>
      <c r="AH231" s="323">
        <v>2.93</v>
      </c>
      <c r="AI231" s="323">
        <v>0.17</v>
      </c>
      <c r="AJ231" s="323">
        <v>0.17</v>
      </c>
      <c r="AK231" s="323">
        <v>4.3499999999999996</v>
      </c>
      <c r="AL231" s="323">
        <v>38.39</v>
      </c>
      <c r="AM231" s="323">
        <v>6.608824712273545E-2</v>
      </c>
      <c r="AN231" s="323">
        <v>6.0249804772815781E-2</v>
      </c>
      <c r="AO231" s="323">
        <v>1.688883316193094E-2</v>
      </c>
      <c r="AP231" s="323">
        <v>2.1513795099393822E-2</v>
      </c>
      <c r="AQ231" s="323">
        <v>0.11734824712273545</v>
      </c>
      <c r="AR231" s="323">
        <v>0.11148980477281578</v>
      </c>
      <c r="AS231" s="323">
        <v>6.9786333161930947E-2</v>
      </c>
      <c r="AT231" s="323">
        <v>8.8551895099393846E-2</v>
      </c>
      <c r="AU231" s="190">
        <v>416830871675806.94</v>
      </c>
      <c r="AV231" s="190">
        <v>380006729413018</v>
      </c>
      <c r="AW231" s="190">
        <v>852168106126469.88</v>
      </c>
      <c r="AX231" s="190">
        <v>1085532070194674.3</v>
      </c>
      <c r="AY231" s="203">
        <v>3.4</v>
      </c>
      <c r="AZ231" s="239">
        <v>104.5</v>
      </c>
      <c r="BA231" s="203">
        <v>2006</v>
      </c>
      <c r="BB231" s="204">
        <v>39294</v>
      </c>
      <c r="BC231" s="203" t="s">
        <v>1105</v>
      </c>
    </row>
    <row r="232" spans="1:55" x14ac:dyDescent="0.2">
      <c r="A232" s="184" t="s">
        <v>1299</v>
      </c>
      <c r="B232" s="184" t="s">
        <v>1298</v>
      </c>
      <c r="C232" s="184" t="s">
        <v>1052</v>
      </c>
      <c r="D232" s="185" t="s">
        <v>1043</v>
      </c>
      <c r="E232" s="184" t="s">
        <v>1300</v>
      </c>
      <c r="F232" s="184" t="s">
        <v>1300</v>
      </c>
      <c r="G232" s="186">
        <f>IF(ALECA_Input!$F$13="ICAO (3000ft)",'Aircraft Calc'!C$211,'Aircraft Calc'!G$211)</f>
        <v>0.7</v>
      </c>
      <c r="H232" s="186">
        <f>IF(ALECA_Input!$F$13="ICAO (3000ft)",'Aircraft Calc'!D$211,'Aircraft Calc'!H$211)</f>
        <v>2.2000000000000002</v>
      </c>
      <c r="I232" s="186">
        <f>IF(ALECA_Input!$F$13="ICAO (3000ft)",'Aircraft Calc'!E$211,'Aircraft Calc'!I$211)</f>
        <v>4</v>
      </c>
      <c r="J232" s="189">
        <v>1</v>
      </c>
      <c r="K232" s="187">
        <f t="shared" si="49"/>
        <v>247.75199999999998</v>
      </c>
      <c r="L232" s="187">
        <f t="shared" si="50"/>
        <v>3.8413915200000002</v>
      </c>
      <c r="M232" s="187">
        <f t="shared" si="51"/>
        <v>7.2302400000000006E-3</v>
      </c>
      <c r="N232" s="187">
        <f t="shared" si="52"/>
        <v>0.27754428000000003</v>
      </c>
      <c r="O232" s="187">
        <f t="shared" si="53"/>
        <v>2.6052121769597186E-2</v>
      </c>
      <c r="P232" s="188">
        <f t="shared" si="54"/>
        <v>1.4342922722570544E+17</v>
      </c>
      <c r="Q232" s="187">
        <f t="shared" si="55"/>
        <v>6119.9999999999991</v>
      </c>
      <c r="R232" s="219">
        <f t="shared" si="56"/>
        <v>25.826399999999996</v>
      </c>
      <c r="S232" s="219">
        <f t="shared" si="57"/>
        <v>11.750399999999997</v>
      </c>
      <c r="T232" s="219">
        <f t="shared" si="58"/>
        <v>196.26839999999999</v>
      </c>
      <c r="U232" s="219">
        <f t="shared" si="59"/>
        <v>0.50379959400829011</v>
      </c>
      <c r="V232" s="188">
        <f t="shared" si="60"/>
        <v>6643456269591406</v>
      </c>
      <c r="W232" s="323">
        <v>1.1419999999999999</v>
      </c>
      <c r="X232" s="323">
        <v>0.93899999999999995</v>
      </c>
      <c r="Y232" s="323">
        <v>0.316</v>
      </c>
      <c r="Z232" s="323">
        <v>0.10199999999999999</v>
      </c>
      <c r="AA232" s="323">
        <v>21.57</v>
      </c>
      <c r="AB232" s="323">
        <v>17.23</v>
      </c>
      <c r="AC232" s="323">
        <v>8.85</v>
      </c>
      <c r="AD232" s="323">
        <v>4.22</v>
      </c>
      <c r="AE232" s="323">
        <v>0.02</v>
      </c>
      <c r="AF232" s="323">
        <v>0.02</v>
      </c>
      <c r="AG232" s="323">
        <v>0.05</v>
      </c>
      <c r="AH232" s="323">
        <v>1.92</v>
      </c>
      <c r="AI232" s="323">
        <v>0.25</v>
      </c>
      <c r="AJ232" s="323">
        <v>0.16</v>
      </c>
      <c r="AK232" s="323">
        <v>3.24</v>
      </c>
      <c r="AL232" s="323">
        <v>32.07</v>
      </c>
      <c r="AM232" s="323">
        <v>7.7259706051682489E-2</v>
      </c>
      <c r="AN232" s="323">
        <v>6.7540914286536302E-2</v>
      </c>
      <c r="AO232" s="323">
        <v>1.7575420682313912E-2</v>
      </c>
      <c r="AP232" s="323">
        <v>2.1513795099393822E-2</v>
      </c>
      <c r="AQ232" s="323">
        <v>0.12851970605168248</v>
      </c>
      <c r="AR232" s="323">
        <v>0.1180209142865363</v>
      </c>
      <c r="AS232" s="323">
        <v>6.9347920682313907E-2</v>
      </c>
      <c r="AT232" s="323">
        <v>8.2320195099393811E-2</v>
      </c>
      <c r="AU232" s="190">
        <v>487291341819544.81</v>
      </c>
      <c r="AV232" s="190">
        <v>425993113776394.06</v>
      </c>
      <c r="AW232" s="190">
        <v>886811588084339.5</v>
      </c>
      <c r="AX232" s="190">
        <v>1085532070194674.3</v>
      </c>
      <c r="AY232" s="203">
        <v>4.5</v>
      </c>
      <c r="AZ232" s="239">
        <v>120.1</v>
      </c>
      <c r="BA232" s="203">
        <v>2006</v>
      </c>
      <c r="BB232" s="204">
        <v>39294</v>
      </c>
      <c r="BC232" s="203" t="s">
        <v>1105</v>
      </c>
    </row>
    <row r="233" spans="1:55" x14ac:dyDescent="0.2">
      <c r="A233" s="184" t="s">
        <v>1302</v>
      </c>
      <c r="B233" s="184" t="s">
        <v>1301</v>
      </c>
      <c r="C233" s="184" t="s">
        <v>1052</v>
      </c>
      <c r="D233" s="185" t="s">
        <v>1043</v>
      </c>
      <c r="E233" s="184" t="s">
        <v>1303</v>
      </c>
      <c r="F233" s="184" t="s">
        <v>1303</v>
      </c>
      <c r="G233" s="186">
        <f>IF(ALECA_Input!$F$13="ICAO (3000ft)",'Aircraft Calc'!C$211,'Aircraft Calc'!G$211)</f>
        <v>0.7</v>
      </c>
      <c r="H233" s="186">
        <f>IF(ALECA_Input!$F$13="ICAO (3000ft)",'Aircraft Calc'!D$211,'Aircraft Calc'!H$211)</f>
        <v>2.2000000000000002</v>
      </c>
      <c r="I233" s="186">
        <f>IF(ALECA_Input!$F$13="ICAO (3000ft)",'Aircraft Calc'!E$211,'Aircraft Calc'!I$211)</f>
        <v>4</v>
      </c>
      <c r="J233" s="189">
        <v>1</v>
      </c>
      <c r="K233" s="187">
        <f t="shared" si="49"/>
        <v>195.114</v>
      </c>
      <c r="L233" s="187">
        <f t="shared" si="50"/>
        <v>2.4117225600000003</v>
      </c>
      <c r="M233" s="187">
        <f t="shared" si="51"/>
        <v>8.973420000000001E-3</v>
      </c>
      <c r="N233" s="187">
        <f t="shared" si="52"/>
        <v>0.34515294000000007</v>
      </c>
      <c r="O233" s="187">
        <f t="shared" si="53"/>
        <v>1.8569570744988263E-2</v>
      </c>
      <c r="P233" s="188">
        <f t="shared" si="54"/>
        <v>9.9448217103712416E+16</v>
      </c>
      <c r="Q233" s="187">
        <f t="shared" si="55"/>
        <v>5460</v>
      </c>
      <c r="R233" s="219">
        <f t="shared" si="56"/>
        <v>20.584199999999999</v>
      </c>
      <c r="S233" s="219">
        <f t="shared" si="57"/>
        <v>20.529599999999999</v>
      </c>
      <c r="T233" s="219">
        <f t="shared" si="58"/>
        <v>233.7972</v>
      </c>
      <c r="U233" s="219">
        <f t="shared" si="59"/>
        <v>0.51145455324269029</v>
      </c>
      <c r="V233" s="188">
        <f t="shared" si="60"/>
        <v>5927005103262921</v>
      </c>
      <c r="W233" s="323">
        <v>0.875</v>
      </c>
      <c r="X233" s="323">
        <v>0.72699999999999998</v>
      </c>
      <c r="Y233" s="323">
        <v>0.26</v>
      </c>
      <c r="Z233" s="323">
        <v>9.0999999999999998E-2</v>
      </c>
      <c r="AA233" s="323">
        <v>16.100000000000001</v>
      </c>
      <c r="AB233" s="323">
        <v>13.79</v>
      </c>
      <c r="AC233" s="323">
        <v>7.96</v>
      </c>
      <c r="AD233" s="323">
        <v>3.77</v>
      </c>
      <c r="AE233" s="323">
        <v>0.03</v>
      </c>
      <c r="AF233" s="323">
        <v>0.03</v>
      </c>
      <c r="AG233" s="323">
        <v>0.08</v>
      </c>
      <c r="AH233" s="323">
        <v>3.76</v>
      </c>
      <c r="AI233" s="323">
        <v>0.15</v>
      </c>
      <c r="AJ233" s="323">
        <v>0.21</v>
      </c>
      <c r="AK233" s="323">
        <v>5.12</v>
      </c>
      <c r="AL233" s="323">
        <v>42.82</v>
      </c>
      <c r="AM233" s="323">
        <v>5.8901230878860414E-2</v>
      </c>
      <c r="AN233" s="323">
        <v>5.3894381860756638E-2</v>
      </c>
      <c r="AO233" s="323">
        <v>1.688883316193094E-2</v>
      </c>
      <c r="AP233" s="323">
        <v>2.1513795099393822E-2</v>
      </c>
      <c r="AQ233" s="323">
        <v>0.11131123087886041</v>
      </c>
      <c r="AR233" s="323">
        <v>0.10513438186075663</v>
      </c>
      <c r="AS233" s="323">
        <v>7.034883316193094E-2</v>
      </c>
      <c r="AT233" s="323">
        <v>9.3672995099393835E-2</v>
      </c>
      <c r="AU233" s="190">
        <v>371501022934032.44</v>
      </c>
      <c r="AV233" s="190">
        <v>339921894549987.44</v>
      </c>
      <c r="AW233" s="190">
        <v>852168106126469.88</v>
      </c>
      <c r="AX233" s="190">
        <v>1085532070194674.3</v>
      </c>
      <c r="AY233" s="203">
        <v>2.9</v>
      </c>
      <c r="AZ233" s="239">
        <v>96.1</v>
      </c>
      <c r="BA233" s="203">
        <v>2006</v>
      </c>
      <c r="BB233" s="204">
        <v>39294</v>
      </c>
      <c r="BC233" s="203" t="s">
        <v>1105</v>
      </c>
    </row>
    <row r="234" spans="1:55" x14ac:dyDescent="0.2">
      <c r="A234" s="184" t="s">
        <v>1305</v>
      </c>
      <c r="B234" s="184" t="s">
        <v>1304</v>
      </c>
      <c r="C234" s="184" t="s">
        <v>769</v>
      </c>
      <c r="D234" s="185" t="s">
        <v>1043</v>
      </c>
      <c r="E234" s="184" t="s">
        <v>1306</v>
      </c>
      <c r="F234" s="184" t="s">
        <v>1307</v>
      </c>
      <c r="G234" s="186">
        <f>IF(ALECA_Input!$F$13="ICAO (3000ft)",'Aircraft Calc'!C$211,'Aircraft Calc'!G$211)</f>
        <v>0.7</v>
      </c>
      <c r="H234" s="186">
        <f>IF(ALECA_Input!$F$13="ICAO (3000ft)",'Aircraft Calc'!D$211,'Aircraft Calc'!H$211)</f>
        <v>2.2000000000000002</v>
      </c>
      <c r="I234" s="186">
        <f>IF(ALECA_Input!$F$13="ICAO (3000ft)",'Aircraft Calc'!E$211,'Aircraft Calc'!I$211)</f>
        <v>4</v>
      </c>
      <c r="J234" s="189">
        <v>1</v>
      </c>
      <c r="K234" s="187">
        <f t="shared" si="49"/>
        <v>89.781599999999997</v>
      </c>
      <c r="L234" s="187">
        <f t="shared" si="50"/>
        <v>0.84183680399999994</v>
      </c>
      <c r="M234" s="187">
        <f t="shared" si="51"/>
        <v>7.386096E-3</v>
      </c>
      <c r="N234" s="187">
        <f t="shared" si="52"/>
        <v>5.4264E-2</v>
      </c>
      <c r="O234" s="187">
        <f t="shared" si="53"/>
        <v>1.1249837418473886E-2</v>
      </c>
      <c r="P234" s="188">
        <f t="shared" si="54"/>
        <v>8.4018419101635744E+16</v>
      </c>
      <c r="Q234" s="187">
        <f t="shared" si="55"/>
        <v>2976</v>
      </c>
      <c r="R234" s="219">
        <f t="shared" si="56"/>
        <v>11.368320000000001</v>
      </c>
      <c r="S234" s="219">
        <f t="shared" si="57"/>
        <v>11.7552</v>
      </c>
      <c r="T234" s="219">
        <f t="shared" si="58"/>
        <v>126.77760000000001</v>
      </c>
      <c r="U234" s="219">
        <f t="shared" si="59"/>
        <v>0.35087577049696711</v>
      </c>
      <c r="V234" s="188">
        <f t="shared" si="60"/>
        <v>6692743169078076</v>
      </c>
      <c r="W234" s="323">
        <v>0.40699999999999997</v>
      </c>
      <c r="X234" s="323">
        <v>0.33429999999999999</v>
      </c>
      <c r="Y234" s="323">
        <v>0.11899999999999999</v>
      </c>
      <c r="Z234" s="323">
        <v>4.9599999999999998E-2</v>
      </c>
      <c r="AA234" s="323">
        <v>11.61</v>
      </c>
      <c r="AB234" s="323">
        <v>10.14</v>
      </c>
      <c r="AC234" s="323">
        <v>6.86</v>
      </c>
      <c r="AD234" s="323">
        <v>3.8200000000000003</v>
      </c>
      <c r="AE234" s="323">
        <v>0.06</v>
      </c>
      <c r="AF234" s="323">
        <v>0.06</v>
      </c>
      <c r="AG234" s="323">
        <v>0.13</v>
      </c>
      <c r="AH234" s="323">
        <v>3.95</v>
      </c>
      <c r="AI234" s="323">
        <v>0</v>
      </c>
      <c r="AJ234" s="323">
        <v>0</v>
      </c>
      <c r="AK234" s="323">
        <v>1.9000000000000001</v>
      </c>
      <c r="AL234" s="323">
        <v>42.6</v>
      </c>
      <c r="AM234" s="323">
        <v>0.14669645239113949</v>
      </c>
      <c r="AN234" s="323">
        <v>6.3887622418685799E-2</v>
      </c>
      <c r="AO234" s="323">
        <v>3.4988733272302147E-2</v>
      </c>
      <c r="AP234" s="323">
        <v>4.4570304602475505E-2</v>
      </c>
      <c r="AQ234" s="323">
        <v>0.20255645239113951</v>
      </c>
      <c r="AR234" s="323">
        <v>0.1174076224186858</v>
      </c>
      <c r="AS234" s="323">
        <v>9.1261233272302136E-2</v>
      </c>
      <c r="AT234" s="323">
        <v>0.1179018046024755</v>
      </c>
      <c r="AU234" s="190">
        <v>925241821112114.13</v>
      </c>
      <c r="AV234" s="190">
        <v>402951122196042.5</v>
      </c>
      <c r="AW234" s="190">
        <v>1765443608954033.5</v>
      </c>
      <c r="AX234" s="190">
        <v>2248905634770858.8</v>
      </c>
      <c r="AY234" s="203">
        <v>1.1000000000000001</v>
      </c>
      <c r="AZ234" s="239">
        <v>41.01</v>
      </c>
      <c r="BA234" s="203">
        <v>1991</v>
      </c>
      <c r="BB234" s="204">
        <v>39294</v>
      </c>
      <c r="BC234" s="203" t="s">
        <v>1308</v>
      </c>
    </row>
    <row r="235" spans="1:55" x14ac:dyDescent="0.2">
      <c r="A235" s="184" t="s">
        <v>1310</v>
      </c>
      <c r="B235" s="184" t="s">
        <v>1309</v>
      </c>
      <c r="C235" s="184" t="s">
        <v>769</v>
      </c>
      <c r="D235" s="185" t="s">
        <v>1043</v>
      </c>
      <c r="E235" s="184" t="s">
        <v>1311</v>
      </c>
      <c r="F235" s="184" t="s">
        <v>1311</v>
      </c>
      <c r="G235" s="186">
        <f>IF(ALECA_Input!$F$13="ICAO (3000ft)",'Aircraft Calc'!C$211,'Aircraft Calc'!G$211)</f>
        <v>0.7</v>
      </c>
      <c r="H235" s="186">
        <f>IF(ALECA_Input!$F$13="ICAO (3000ft)",'Aircraft Calc'!D$211,'Aircraft Calc'!H$211)</f>
        <v>2.2000000000000002</v>
      </c>
      <c r="I235" s="186">
        <f>IF(ALECA_Input!$F$13="ICAO (3000ft)",'Aircraft Calc'!E$211,'Aircraft Calc'!I$211)</f>
        <v>4</v>
      </c>
      <c r="J235" s="189">
        <v>1</v>
      </c>
      <c r="K235" s="187">
        <f t="shared" si="49"/>
        <v>89.781599999999997</v>
      </c>
      <c r="L235" s="187">
        <f t="shared" si="50"/>
        <v>0.84183680399999994</v>
      </c>
      <c r="M235" s="187">
        <f t="shared" si="51"/>
        <v>7.386096E-3</v>
      </c>
      <c r="N235" s="187">
        <f t="shared" si="52"/>
        <v>5.4264E-2</v>
      </c>
      <c r="O235" s="187">
        <f t="shared" si="53"/>
        <v>1.1249837418473886E-2</v>
      </c>
      <c r="P235" s="188">
        <f t="shared" si="54"/>
        <v>8.4018419101635744E+16</v>
      </c>
      <c r="Q235" s="187">
        <f t="shared" si="55"/>
        <v>2976</v>
      </c>
      <c r="R235" s="219">
        <f t="shared" si="56"/>
        <v>11.368320000000001</v>
      </c>
      <c r="S235" s="219">
        <f t="shared" si="57"/>
        <v>11.7552</v>
      </c>
      <c r="T235" s="219">
        <f t="shared" si="58"/>
        <v>126.77760000000001</v>
      </c>
      <c r="U235" s="219">
        <f t="shared" si="59"/>
        <v>0.35087577049696711</v>
      </c>
      <c r="V235" s="188">
        <f t="shared" si="60"/>
        <v>6692743169078076</v>
      </c>
      <c r="W235" s="323">
        <v>0.40699999999999997</v>
      </c>
      <c r="X235" s="323">
        <v>0.33429999999999999</v>
      </c>
      <c r="Y235" s="323">
        <v>0.11899999999999999</v>
      </c>
      <c r="Z235" s="323">
        <v>4.9599999999999998E-2</v>
      </c>
      <c r="AA235" s="323">
        <v>11.61</v>
      </c>
      <c r="AB235" s="323">
        <v>10.14</v>
      </c>
      <c r="AC235" s="323">
        <v>6.86</v>
      </c>
      <c r="AD235" s="323">
        <v>3.8200000000000003</v>
      </c>
      <c r="AE235" s="323">
        <v>0.06</v>
      </c>
      <c r="AF235" s="323">
        <v>0.06</v>
      </c>
      <c r="AG235" s="323">
        <v>0.13</v>
      </c>
      <c r="AH235" s="323">
        <v>3.95</v>
      </c>
      <c r="AI235" s="323">
        <v>0</v>
      </c>
      <c r="AJ235" s="323">
        <v>0</v>
      </c>
      <c r="AK235" s="323">
        <v>1.9000000000000001</v>
      </c>
      <c r="AL235" s="323">
        <v>42.6</v>
      </c>
      <c r="AM235" s="323">
        <v>0.14669645239113949</v>
      </c>
      <c r="AN235" s="323">
        <v>6.3887622418685799E-2</v>
      </c>
      <c r="AO235" s="323">
        <v>3.4988733272302147E-2</v>
      </c>
      <c r="AP235" s="323">
        <v>4.4570304602475505E-2</v>
      </c>
      <c r="AQ235" s="323">
        <v>0.20255645239113951</v>
      </c>
      <c r="AR235" s="323">
        <v>0.1174076224186858</v>
      </c>
      <c r="AS235" s="323">
        <v>9.1261233272302136E-2</v>
      </c>
      <c r="AT235" s="323">
        <v>0.1179018046024755</v>
      </c>
      <c r="AU235" s="190">
        <v>925241821112114.13</v>
      </c>
      <c r="AV235" s="190">
        <v>402951122196042.5</v>
      </c>
      <c r="AW235" s="190">
        <v>1765443608954033.5</v>
      </c>
      <c r="AX235" s="190">
        <v>2248905634770858.8</v>
      </c>
      <c r="AY235" s="203">
        <v>1.1000000000000001</v>
      </c>
      <c r="AZ235" s="239">
        <v>41.01</v>
      </c>
      <c r="BA235" s="203">
        <v>1991</v>
      </c>
      <c r="BB235" s="204">
        <v>39294</v>
      </c>
      <c r="BC235" s="203" t="s">
        <v>1308</v>
      </c>
    </row>
    <row r="236" spans="1:55" x14ac:dyDescent="0.2">
      <c r="A236" s="184" t="s">
        <v>674</v>
      </c>
      <c r="B236" s="184" t="s">
        <v>1312</v>
      </c>
      <c r="C236" s="184" t="s">
        <v>769</v>
      </c>
      <c r="D236" s="185" t="s">
        <v>1043</v>
      </c>
      <c r="E236" s="184" t="s">
        <v>276</v>
      </c>
      <c r="F236" s="184" t="s">
        <v>276</v>
      </c>
      <c r="G236" s="186">
        <f>IF(ALECA_Input!$F$13="ICAO (3000ft)",'Aircraft Calc'!C$211,'Aircraft Calc'!G$211)</f>
        <v>0.7</v>
      </c>
      <c r="H236" s="186">
        <f>IF(ALECA_Input!$F$13="ICAO (3000ft)",'Aircraft Calc'!D$211,'Aircraft Calc'!H$211)</f>
        <v>2.2000000000000002</v>
      </c>
      <c r="I236" s="186">
        <f>IF(ALECA_Input!$F$13="ICAO (3000ft)",'Aircraft Calc'!E$211,'Aircraft Calc'!I$211)</f>
        <v>4</v>
      </c>
      <c r="J236" s="189">
        <v>1</v>
      </c>
      <c r="K236" s="187">
        <f t="shared" si="49"/>
        <v>130.93135799999999</v>
      </c>
      <c r="L236" s="187">
        <f t="shared" si="50"/>
        <v>1.6561067814600001</v>
      </c>
      <c r="M236" s="187">
        <f t="shared" si="51"/>
        <v>4.2321759599999991E-3</v>
      </c>
      <c r="N236" s="187">
        <f t="shared" si="52"/>
        <v>0.16039797078000001</v>
      </c>
      <c r="O236" s="187">
        <f t="shared" si="53"/>
        <v>8.2319633468724476E-3</v>
      </c>
      <c r="P236" s="188">
        <f t="shared" si="54"/>
        <v>1.4361648590261652E+16</v>
      </c>
      <c r="Q236" s="187">
        <f t="shared" si="55"/>
        <v>4138.1400000000003</v>
      </c>
      <c r="R236" s="219">
        <f t="shared" si="56"/>
        <v>17.835383399999998</v>
      </c>
      <c r="S236" s="219">
        <f t="shared" si="57"/>
        <v>0.33105119999999999</v>
      </c>
      <c r="T236" s="219">
        <f t="shared" si="58"/>
        <v>103.2052116</v>
      </c>
      <c r="U236" s="219">
        <f t="shared" si="59"/>
        <v>0.21863034757257446</v>
      </c>
      <c r="V236" s="188">
        <f t="shared" si="60"/>
        <v>705619078977386.5</v>
      </c>
      <c r="W236" s="323">
        <v>0.60423899999999997</v>
      </c>
      <c r="X236" s="323">
        <v>0.49404999999999999</v>
      </c>
      <c r="Y236" s="323">
        <v>0.16807800000000001</v>
      </c>
      <c r="Z236" s="323">
        <v>6.8969000000000003E-2</v>
      </c>
      <c r="AA236" s="323">
        <v>14.67</v>
      </c>
      <c r="AB236" s="323">
        <v>12.82</v>
      </c>
      <c r="AC236" s="323">
        <v>11.1</v>
      </c>
      <c r="AD236" s="323">
        <v>4.3099999999999996</v>
      </c>
      <c r="AE236" s="323">
        <v>0.02</v>
      </c>
      <c r="AF236" s="323">
        <v>0.02</v>
      </c>
      <c r="AG236" s="323">
        <v>0.06</v>
      </c>
      <c r="AH236" s="323">
        <v>0.08</v>
      </c>
      <c r="AI236" s="323">
        <v>0.41</v>
      </c>
      <c r="AJ236" s="323">
        <v>0.5</v>
      </c>
      <c r="AK236" s="323">
        <v>2.91</v>
      </c>
      <c r="AL236" s="323">
        <v>24.94</v>
      </c>
      <c r="AM236" s="323">
        <v>3.9375534371965906E-2</v>
      </c>
      <c r="AN236" s="323">
        <v>6.4653696517996233E-3</v>
      </c>
      <c r="AO236" s="323">
        <v>2.6529075919150928E-3</v>
      </c>
      <c r="AP236" s="323">
        <v>3.3793992635760151E-3</v>
      </c>
      <c r="AQ236" s="323">
        <v>9.063553437196592E-2</v>
      </c>
      <c r="AR236" s="323">
        <v>5.6945369651799624E-2</v>
      </c>
      <c r="AS236" s="323">
        <v>5.4987907591915103E-2</v>
      </c>
      <c r="AT236" s="323">
        <v>5.2832999263576021E-2</v>
      </c>
      <c r="AU236" s="190">
        <v>248348821909076.22</v>
      </c>
      <c r="AV236" s="190">
        <v>40778289408417.859</v>
      </c>
      <c r="AW236" s="190">
        <v>133859054480253.08</v>
      </c>
      <c r="AX236" s="190">
        <v>170515999694883.81</v>
      </c>
      <c r="AY236" s="203">
        <v>2.1</v>
      </c>
      <c r="AZ236" s="239">
        <v>56.36</v>
      </c>
      <c r="BA236" s="203">
        <v>2000</v>
      </c>
      <c r="BB236" s="204">
        <v>39296</v>
      </c>
      <c r="BC236" s="203" t="s">
        <v>3089</v>
      </c>
    </row>
    <row r="237" spans="1:55" x14ac:dyDescent="0.2">
      <c r="A237" s="184" t="s">
        <v>1314</v>
      </c>
      <c r="B237" s="184" t="s">
        <v>1313</v>
      </c>
      <c r="C237" s="184" t="s">
        <v>769</v>
      </c>
      <c r="D237" s="185" t="s">
        <v>1043</v>
      </c>
      <c r="E237" s="184" t="s">
        <v>1315</v>
      </c>
      <c r="F237" s="184" t="s">
        <v>1315</v>
      </c>
      <c r="G237" s="186">
        <f>IF(ALECA_Input!$F$13="ICAO (3000ft)",'Aircraft Calc'!C$211,'Aircraft Calc'!G$211)</f>
        <v>0.7</v>
      </c>
      <c r="H237" s="186">
        <f>IF(ALECA_Input!$F$13="ICAO (3000ft)",'Aircraft Calc'!D$211,'Aircraft Calc'!H$211)</f>
        <v>2.2000000000000002</v>
      </c>
      <c r="I237" s="186">
        <f>IF(ALECA_Input!$F$13="ICAO (3000ft)",'Aircraft Calc'!E$211,'Aircraft Calc'!I$211)</f>
        <v>4</v>
      </c>
      <c r="J237" s="189">
        <v>1</v>
      </c>
      <c r="K237" s="187">
        <f t="shared" si="49"/>
        <v>148.40520000000001</v>
      </c>
      <c r="L237" s="187">
        <f t="shared" si="50"/>
        <v>1.9346714280000001</v>
      </c>
      <c r="M237" s="187">
        <f t="shared" si="51"/>
        <v>4.7690639999999999E-3</v>
      </c>
      <c r="N237" s="187">
        <f t="shared" si="52"/>
        <v>0.24533991599999999</v>
      </c>
      <c r="O237" s="187">
        <f t="shared" si="53"/>
        <v>1.1975148358338787E-2</v>
      </c>
      <c r="P237" s="188">
        <f t="shared" si="54"/>
        <v>3.2883117913006732E+16</v>
      </c>
      <c r="Q237" s="187">
        <f t="shared" si="55"/>
        <v>3960</v>
      </c>
      <c r="R237" s="219">
        <f t="shared" si="56"/>
        <v>18.612000000000002</v>
      </c>
      <c r="S237" s="219">
        <f t="shared" si="57"/>
        <v>0.51480000000000004</v>
      </c>
      <c r="T237" s="219">
        <f t="shared" si="58"/>
        <v>68.507999999999996</v>
      </c>
      <c r="U237" s="219">
        <f t="shared" si="59"/>
        <v>0.21044033708376106</v>
      </c>
      <c r="V237" s="188">
        <f t="shared" si="60"/>
        <v>675243358791739.88</v>
      </c>
      <c r="W237" s="323">
        <v>0.69140000000000001</v>
      </c>
      <c r="X237" s="323">
        <v>0.56320000000000003</v>
      </c>
      <c r="Y237" s="323">
        <v>0.18759999999999999</v>
      </c>
      <c r="Z237" s="323">
        <v>6.6000000000000003E-2</v>
      </c>
      <c r="AA237" s="323">
        <v>15.81</v>
      </c>
      <c r="AB237" s="323">
        <v>13.15</v>
      </c>
      <c r="AC237" s="323">
        <v>11.06</v>
      </c>
      <c r="AD237" s="323">
        <v>4.7</v>
      </c>
      <c r="AE237" s="323">
        <v>0.02</v>
      </c>
      <c r="AF237" s="323">
        <v>0.02</v>
      </c>
      <c r="AG237" s="323">
        <v>0.06</v>
      </c>
      <c r="AH237" s="323">
        <v>0.13</v>
      </c>
      <c r="AI237" s="323">
        <v>0.71</v>
      </c>
      <c r="AJ237" s="323">
        <v>0.56999999999999995</v>
      </c>
      <c r="AK237" s="323">
        <v>4.05</v>
      </c>
      <c r="AL237" s="323">
        <v>17.3</v>
      </c>
      <c r="AM237" s="323">
        <v>7.8777778347281099E-2</v>
      </c>
      <c r="AN237" s="323">
        <v>2.6504759290114064E-2</v>
      </c>
      <c r="AO237" s="323">
        <v>2.6529075919150928E-3</v>
      </c>
      <c r="AP237" s="323">
        <v>3.3793992635760151E-3</v>
      </c>
      <c r="AQ237" s="323">
        <v>0.13003777834728109</v>
      </c>
      <c r="AR237" s="323">
        <v>7.6984759290114058E-2</v>
      </c>
      <c r="AS237" s="323">
        <v>5.4987907591915103E-2</v>
      </c>
      <c r="AT237" s="323">
        <v>5.3141499263576024E-2</v>
      </c>
      <c r="AU237" s="190">
        <v>496866106256345.44</v>
      </c>
      <c r="AV237" s="190">
        <v>167170448596373.69</v>
      </c>
      <c r="AW237" s="190">
        <v>133859054480253.08</v>
      </c>
      <c r="AX237" s="190">
        <v>170515999694883.81</v>
      </c>
      <c r="AY237" s="203">
        <v>2.4</v>
      </c>
      <c r="AZ237" s="239">
        <v>62.49</v>
      </c>
      <c r="BA237" s="203">
        <v>2002</v>
      </c>
      <c r="BB237" s="204">
        <v>39296</v>
      </c>
      <c r="BC237" s="203" t="s">
        <v>3090</v>
      </c>
    </row>
    <row r="238" spans="1:55" x14ac:dyDescent="0.2">
      <c r="A238" s="184" t="s">
        <v>675</v>
      </c>
      <c r="B238" s="184" t="s">
        <v>1316</v>
      </c>
      <c r="C238" s="184" t="s">
        <v>769</v>
      </c>
      <c r="D238" s="185" t="s">
        <v>1043</v>
      </c>
      <c r="E238" s="184" t="s">
        <v>277</v>
      </c>
      <c r="F238" s="184" t="s">
        <v>277</v>
      </c>
      <c r="G238" s="186">
        <f>IF(ALECA_Input!$F$13="ICAO (3000ft)",'Aircraft Calc'!C$211,'Aircraft Calc'!G$211)</f>
        <v>0.7</v>
      </c>
      <c r="H238" s="186">
        <f>IF(ALECA_Input!$F$13="ICAO (3000ft)",'Aircraft Calc'!D$211,'Aircraft Calc'!H$211)</f>
        <v>2.2000000000000002</v>
      </c>
      <c r="I238" s="186">
        <f>IF(ALECA_Input!$F$13="ICAO (3000ft)",'Aircraft Calc'!E$211,'Aircraft Calc'!I$211)</f>
        <v>4</v>
      </c>
      <c r="J238" s="189">
        <v>1</v>
      </c>
      <c r="K238" s="187">
        <f t="shared" si="49"/>
        <v>140.13600000000002</v>
      </c>
      <c r="L238" s="187">
        <f t="shared" si="50"/>
        <v>1.7431190400000001</v>
      </c>
      <c r="M238" s="187">
        <f t="shared" si="51"/>
        <v>4.52112E-3</v>
      </c>
      <c r="N238" s="187">
        <f t="shared" si="52"/>
        <v>0.23944584000000002</v>
      </c>
      <c r="O238" s="187">
        <f t="shared" si="53"/>
        <v>9.5004404869986486E-3</v>
      </c>
      <c r="P238" s="188">
        <f t="shared" si="54"/>
        <v>1.9698845088223648E+16</v>
      </c>
      <c r="Q238" s="187">
        <f t="shared" si="55"/>
        <v>3840</v>
      </c>
      <c r="R238" s="219">
        <f t="shared" si="56"/>
        <v>17.663999999999998</v>
      </c>
      <c r="S238" s="219">
        <f t="shared" si="57"/>
        <v>0.49919999999999998</v>
      </c>
      <c r="T238" s="219">
        <f t="shared" si="58"/>
        <v>70.08</v>
      </c>
      <c r="U238" s="219">
        <f t="shared" si="59"/>
        <v>0.20406335717213192</v>
      </c>
      <c r="V238" s="188">
        <f t="shared" si="60"/>
        <v>654781438828353.88</v>
      </c>
      <c r="W238" s="323">
        <v>0.64800000000000002</v>
      </c>
      <c r="X238" s="323">
        <v>0.53</v>
      </c>
      <c r="Y238" s="323">
        <v>0.17899999999999999</v>
      </c>
      <c r="Z238" s="323">
        <v>6.4000000000000001E-2</v>
      </c>
      <c r="AA238" s="323">
        <v>14.69</v>
      </c>
      <c r="AB238" s="323">
        <v>12.6</v>
      </c>
      <c r="AC238" s="323">
        <v>10.75</v>
      </c>
      <c r="AD238" s="323">
        <v>4.5999999999999996</v>
      </c>
      <c r="AE238" s="323">
        <v>0.02</v>
      </c>
      <c r="AF238" s="323">
        <v>0.02</v>
      </c>
      <c r="AG238" s="323">
        <v>0.06</v>
      </c>
      <c r="AH238" s="323">
        <v>0.13</v>
      </c>
      <c r="AI238" s="323">
        <v>0.64</v>
      </c>
      <c r="AJ238" s="323">
        <v>0.56999999999999995</v>
      </c>
      <c r="AK238" s="323">
        <v>4.24</v>
      </c>
      <c r="AL238" s="323">
        <v>18.25</v>
      </c>
      <c r="AM238" s="323">
        <v>5.2845706742728912E-2</v>
      </c>
      <c r="AN238" s="323">
        <v>1.1052576645795672E-2</v>
      </c>
      <c r="AO238" s="323">
        <v>2.6529075919150928E-3</v>
      </c>
      <c r="AP238" s="323">
        <v>3.3793992635760151E-3</v>
      </c>
      <c r="AQ238" s="323">
        <v>0.1041057067427289</v>
      </c>
      <c r="AR238" s="323">
        <v>6.1532576645795672E-2</v>
      </c>
      <c r="AS238" s="323">
        <v>5.4987907591915103E-2</v>
      </c>
      <c r="AT238" s="323">
        <v>5.3141499263576024E-2</v>
      </c>
      <c r="AU238" s="190">
        <v>333307705453090.44</v>
      </c>
      <c r="AV238" s="190">
        <v>69710657463417.164</v>
      </c>
      <c r="AW238" s="190">
        <v>133859054480253.08</v>
      </c>
      <c r="AX238" s="190">
        <v>170515999694883.81</v>
      </c>
      <c r="AY238" s="203">
        <v>2.2000000000000002</v>
      </c>
      <c r="AZ238" s="239">
        <v>59.42</v>
      </c>
      <c r="BA238" s="203">
        <v>2002</v>
      </c>
      <c r="BB238" s="204">
        <v>39296</v>
      </c>
      <c r="BC238" s="203" t="s">
        <v>3091</v>
      </c>
    </row>
    <row r="239" spans="1:55" x14ac:dyDescent="0.2">
      <c r="A239" s="184" t="s">
        <v>677</v>
      </c>
      <c r="B239" s="184" t="s">
        <v>1317</v>
      </c>
      <c r="C239" s="184" t="s">
        <v>769</v>
      </c>
      <c r="D239" s="185" t="s">
        <v>1043</v>
      </c>
      <c r="E239" s="184" t="s">
        <v>1318</v>
      </c>
      <c r="F239" s="184" t="s">
        <v>1318</v>
      </c>
      <c r="G239" s="186">
        <f>IF(ALECA_Input!$F$13="ICAO (3000ft)",'Aircraft Calc'!C$211,'Aircraft Calc'!G$211)</f>
        <v>0.7</v>
      </c>
      <c r="H239" s="186">
        <f>IF(ALECA_Input!$F$13="ICAO (3000ft)",'Aircraft Calc'!D$211,'Aircraft Calc'!H$211)</f>
        <v>2.2000000000000002</v>
      </c>
      <c r="I239" s="186">
        <f>IF(ALECA_Input!$F$13="ICAO (3000ft)",'Aircraft Calc'!E$211,'Aircraft Calc'!I$211)</f>
        <v>4</v>
      </c>
      <c r="J239" s="189">
        <v>1</v>
      </c>
      <c r="K239" s="187">
        <f t="shared" si="49"/>
        <v>129.16199999999998</v>
      </c>
      <c r="L239" s="187">
        <f t="shared" si="50"/>
        <v>1.5091884</v>
      </c>
      <c r="M239" s="187">
        <f t="shared" si="51"/>
        <v>5.2394399999999997E-3</v>
      </c>
      <c r="N239" s="187">
        <f t="shared" si="52"/>
        <v>0.23402297999999999</v>
      </c>
      <c r="O239" s="187">
        <f t="shared" si="53"/>
        <v>7.8756792456300944E-3</v>
      </c>
      <c r="P239" s="188">
        <f t="shared" si="54"/>
        <v>1.2228676135129058E+16</v>
      </c>
      <c r="Q239" s="187">
        <f t="shared" si="55"/>
        <v>3719.9999999999995</v>
      </c>
      <c r="R239" s="219">
        <f t="shared" si="56"/>
        <v>16.553999999999998</v>
      </c>
      <c r="S239" s="219">
        <f t="shared" si="57"/>
        <v>0.59519999999999995</v>
      </c>
      <c r="T239" s="219">
        <f t="shared" si="58"/>
        <v>74.437200000000004</v>
      </c>
      <c r="U239" s="219">
        <f t="shared" si="59"/>
        <v>0.19837494926050281</v>
      </c>
      <c r="V239" s="188">
        <f t="shared" si="60"/>
        <v>634319518864967.75</v>
      </c>
      <c r="W239" s="323">
        <v>0.59099999999999997</v>
      </c>
      <c r="X239" s="323">
        <v>0.48499999999999999</v>
      </c>
      <c r="Y239" s="323">
        <v>0.16800000000000001</v>
      </c>
      <c r="Z239" s="323">
        <v>6.2E-2</v>
      </c>
      <c r="AA239" s="323">
        <v>13.6</v>
      </c>
      <c r="AB239" s="323">
        <v>11.82</v>
      </c>
      <c r="AC239" s="323">
        <v>10.29</v>
      </c>
      <c r="AD239" s="323">
        <v>4.45</v>
      </c>
      <c r="AE239" s="323">
        <v>0.02</v>
      </c>
      <c r="AF239" s="323">
        <v>0.03</v>
      </c>
      <c r="AG239" s="323">
        <v>7.0000000000000007E-2</v>
      </c>
      <c r="AH239" s="323">
        <v>0.16</v>
      </c>
      <c r="AI239" s="323">
        <v>0.59</v>
      </c>
      <c r="AJ239" s="323">
        <v>0.57999999999999996</v>
      </c>
      <c r="AK239" s="323">
        <v>4.5199999999999996</v>
      </c>
      <c r="AL239" s="323">
        <v>20.010000000000002</v>
      </c>
      <c r="AM239" s="323">
        <v>3.4089394388182592E-2</v>
      </c>
      <c r="AN239" s="323">
        <v>3.7013330837333621E-3</v>
      </c>
      <c r="AO239" s="323">
        <v>2.6529075919150928E-3</v>
      </c>
      <c r="AP239" s="323">
        <v>3.3793992635760151E-3</v>
      </c>
      <c r="AQ239" s="323">
        <v>8.5349394388182592E-2</v>
      </c>
      <c r="AR239" s="323">
        <v>5.4941333083733369E-2</v>
      </c>
      <c r="AS239" s="323">
        <v>5.5550407591915096E-2</v>
      </c>
      <c r="AT239" s="323">
        <v>5.3326599263576024E-2</v>
      </c>
      <c r="AU239" s="190">
        <v>215008153436682.75</v>
      </c>
      <c r="AV239" s="190">
        <v>23344996467977.449</v>
      </c>
      <c r="AW239" s="190">
        <v>133859054480253.08</v>
      </c>
      <c r="AX239" s="190">
        <v>170515999694883.81</v>
      </c>
      <c r="AY239" s="203">
        <v>1.9</v>
      </c>
      <c r="AZ239" s="239">
        <v>55.19</v>
      </c>
      <c r="BA239" s="203">
        <v>2002</v>
      </c>
      <c r="BB239" s="204">
        <v>39296</v>
      </c>
      <c r="BC239" s="203" t="s">
        <v>3091</v>
      </c>
    </row>
    <row r="240" spans="1:55" x14ac:dyDescent="0.2">
      <c r="A240" s="184" t="s">
        <v>1320</v>
      </c>
      <c r="B240" s="184" t="s">
        <v>1319</v>
      </c>
      <c r="C240" s="184" t="s">
        <v>769</v>
      </c>
      <c r="D240" s="185" t="s">
        <v>1043</v>
      </c>
      <c r="E240" s="184" t="s">
        <v>1321</v>
      </c>
      <c r="F240" s="184" t="s">
        <v>1321</v>
      </c>
      <c r="G240" s="186">
        <f>IF(ALECA_Input!$F$13="ICAO (3000ft)",'Aircraft Calc'!C$211,'Aircraft Calc'!G$211)</f>
        <v>0.7</v>
      </c>
      <c r="H240" s="186">
        <f>IF(ALECA_Input!$F$13="ICAO (3000ft)",'Aircraft Calc'!D$211,'Aircraft Calc'!H$211)</f>
        <v>2.2000000000000002</v>
      </c>
      <c r="I240" s="186">
        <f>IF(ALECA_Input!$F$13="ICAO (3000ft)",'Aircraft Calc'!E$211,'Aircraft Calc'!I$211)</f>
        <v>4</v>
      </c>
      <c r="J240" s="189">
        <v>1</v>
      </c>
      <c r="K240" s="187">
        <f t="shared" si="49"/>
        <v>140.87879999999998</v>
      </c>
      <c r="L240" s="187">
        <f t="shared" si="50"/>
        <v>1.7589370919999998</v>
      </c>
      <c r="M240" s="187">
        <f t="shared" si="51"/>
        <v>4.545576E-3</v>
      </c>
      <c r="N240" s="187">
        <f t="shared" si="52"/>
        <v>0.24032920799999999</v>
      </c>
      <c r="O240" s="187">
        <f t="shared" si="53"/>
        <v>9.6623708734296394E-3</v>
      </c>
      <c r="P240" s="188">
        <f t="shared" si="54"/>
        <v>2.0508189759125032E+16</v>
      </c>
      <c r="Q240" s="187">
        <f t="shared" si="55"/>
        <v>3864</v>
      </c>
      <c r="R240" s="219">
        <f t="shared" si="56"/>
        <v>17.813040000000001</v>
      </c>
      <c r="S240" s="219">
        <f t="shared" si="57"/>
        <v>0.50231999999999999</v>
      </c>
      <c r="T240" s="219">
        <f t="shared" si="58"/>
        <v>70.170239999999993</v>
      </c>
      <c r="U240" s="219">
        <f t="shared" si="59"/>
        <v>0.20533875315445774</v>
      </c>
      <c r="V240" s="188">
        <f t="shared" si="60"/>
        <v>658873822821031</v>
      </c>
      <c r="W240" s="323">
        <v>0.65180000000000005</v>
      </c>
      <c r="X240" s="323">
        <v>0.53259999999999996</v>
      </c>
      <c r="Y240" s="323">
        <v>0.18</v>
      </c>
      <c r="Z240" s="323">
        <v>6.4399999999999999E-2</v>
      </c>
      <c r="AA240" s="323">
        <v>14.77</v>
      </c>
      <c r="AB240" s="323">
        <v>12.65</v>
      </c>
      <c r="AC240" s="323">
        <v>10.77</v>
      </c>
      <c r="AD240" s="323">
        <v>4.6100000000000003</v>
      </c>
      <c r="AE240" s="323">
        <v>0.02</v>
      </c>
      <c r="AF240" s="323">
        <v>0.02</v>
      </c>
      <c r="AG240" s="323">
        <v>0.06</v>
      </c>
      <c r="AH240" s="323">
        <v>0.13</v>
      </c>
      <c r="AI240" s="323">
        <v>0.64</v>
      </c>
      <c r="AJ240" s="323">
        <v>0.56999999999999995</v>
      </c>
      <c r="AK240" s="323">
        <v>4.2300000000000004</v>
      </c>
      <c r="AL240" s="323">
        <v>18.16</v>
      </c>
      <c r="AM240" s="323">
        <v>5.4120663473966137E-2</v>
      </c>
      <c r="AN240" s="323">
        <v>1.2134992979850137E-2</v>
      </c>
      <c r="AO240" s="323">
        <v>2.6529075919150928E-3</v>
      </c>
      <c r="AP240" s="323">
        <v>3.3793992635760151E-3</v>
      </c>
      <c r="AQ240" s="323">
        <v>0.10538066347396613</v>
      </c>
      <c r="AR240" s="323">
        <v>6.261499297985014E-2</v>
      </c>
      <c r="AS240" s="323">
        <v>5.4987907591915103E-2</v>
      </c>
      <c r="AT240" s="323">
        <v>5.3141499263576024E-2</v>
      </c>
      <c r="AU240" s="190">
        <v>341349094788831.06</v>
      </c>
      <c r="AV240" s="190">
        <v>76537658688039.453</v>
      </c>
      <c r="AW240" s="190">
        <v>133859054480253.08</v>
      </c>
      <c r="AX240" s="190">
        <v>170515999694883.81</v>
      </c>
      <c r="AY240" s="203">
        <v>2.2000000000000002</v>
      </c>
      <c r="AZ240" s="239">
        <v>59.68</v>
      </c>
      <c r="BA240" s="203">
        <v>2002</v>
      </c>
      <c r="BB240" s="204">
        <v>39296</v>
      </c>
      <c r="BC240" s="203" t="s">
        <v>3091</v>
      </c>
    </row>
    <row r="241" spans="1:55" x14ac:dyDescent="0.2">
      <c r="A241" s="184" t="s">
        <v>1323</v>
      </c>
      <c r="B241" s="184" t="s">
        <v>1322</v>
      </c>
      <c r="C241" s="184" t="s">
        <v>769</v>
      </c>
      <c r="D241" s="185" t="s">
        <v>1043</v>
      </c>
      <c r="E241" s="184" t="s">
        <v>1324</v>
      </c>
      <c r="F241" s="184" t="s">
        <v>1324</v>
      </c>
      <c r="G241" s="186">
        <f>IF(ALECA_Input!$F$13="ICAO (3000ft)",'Aircraft Calc'!C$211,'Aircraft Calc'!G$211)</f>
        <v>0.7</v>
      </c>
      <c r="H241" s="186">
        <f>IF(ALECA_Input!$F$13="ICAO (3000ft)",'Aircraft Calc'!D$211,'Aircraft Calc'!H$211)</f>
        <v>2.2000000000000002</v>
      </c>
      <c r="I241" s="186">
        <f>IF(ALECA_Input!$F$13="ICAO (3000ft)",'Aircraft Calc'!E$211,'Aircraft Calc'!I$211)</f>
        <v>4</v>
      </c>
      <c r="J241" s="189">
        <v>1</v>
      </c>
      <c r="K241" s="187">
        <f t="shared" si="49"/>
        <v>129.61199999999999</v>
      </c>
      <c r="L241" s="187">
        <f t="shared" si="50"/>
        <v>1.5139963200000002</v>
      </c>
      <c r="M241" s="187">
        <f t="shared" si="51"/>
        <v>5.2669200000000005E-3</v>
      </c>
      <c r="N241" s="187">
        <f t="shared" si="52"/>
        <v>0.24186635999999997</v>
      </c>
      <c r="O241" s="187">
        <f t="shared" si="53"/>
        <v>8.1356174148138928E-3</v>
      </c>
      <c r="P241" s="188">
        <f t="shared" si="54"/>
        <v>1.377895645817244E+16</v>
      </c>
      <c r="Q241" s="187">
        <f t="shared" si="55"/>
        <v>4218</v>
      </c>
      <c r="R241" s="219">
        <f t="shared" si="56"/>
        <v>16.998540000000002</v>
      </c>
      <c r="S241" s="219">
        <f t="shared" si="57"/>
        <v>0.54834000000000005</v>
      </c>
      <c r="T241" s="219">
        <f t="shared" si="58"/>
        <v>83.221140000000005</v>
      </c>
      <c r="U241" s="219">
        <f t="shared" si="59"/>
        <v>0.22415084389376366</v>
      </c>
      <c r="V241" s="188">
        <f t="shared" si="60"/>
        <v>719236486713019.88</v>
      </c>
      <c r="W241" s="323">
        <v>0.60799999999999998</v>
      </c>
      <c r="X241" s="323">
        <v>0.47899999999999998</v>
      </c>
      <c r="Y241" s="323">
        <v>0.17019999999999999</v>
      </c>
      <c r="Z241" s="323">
        <v>7.0300000000000001E-2</v>
      </c>
      <c r="AA241" s="323">
        <v>13.82</v>
      </c>
      <c r="AB241" s="323">
        <v>12</v>
      </c>
      <c r="AC241" s="323">
        <v>9.85</v>
      </c>
      <c r="AD241" s="323">
        <v>4.03</v>
      </c>
      <c r="AE241" s="323">
        <v>0.02</v>
      </c>
      <c r="AF241" s="323">
        <v>0.03</v>
      </c>
      <c r="AG241" s="323">
        <v>7.0000000000000007E-2</v>
      </c>
      <c r="AH241" s="323">
        <v>0.13</v>
      </c>
      <c r="AI241" s="323">
        <v>0.59</v>
      </c>
      <c r="AJ241" s="323">
        <v>0.56999999999999995</v>
      </c>
      <c r="AK241" s="323">
        <v>4.67</v>
      </c>
      <c r="AL241" s="323">
        <v>19.73</v>
      </c>
      <c r="AM241" s="323">
        <v>3.8567784555174026E-2</v>
      </c>
      <c r="AN241" s="323">
        <v>5.2642711946988821E-3</v>
      </c>
      <c r="AO241" s="323">
        <v>2.6529075919150928E-3</v>
      </c>
      <c r="AP241" s="323">
        <v>3.3793992635760151E-3</v>
      </c>
      <c r="AQ241" s="323">
        <v>8.9827784555174026E-2</v>
      </c>
      <c r="AR241" s="323">
        <v>5.6504271194698891E-2</v>
      </c>
      <c r="AS241" s="323">
        <v>5.5550407591915096E-2</v>
      </c>
      <c r="AT241" s="323">
        <v>5.3141499263576024E-2</v>
      </c>
      <c r="AU241" s="190">
        <v>243254193516163.34</v>
      </c>
      <c r="AV241" s="190">
        <v>33202737950501.598</v>
      </c>
      <c r="AW241" s="190">
        <v>133859054480253.08</v>
      </c>
      <c r="AX241" s="190">
        <v>170515999694883.81</v>
      </c>
      <c r="AY241" s="203">
        <v>2</v>
      </c>
      <c r="AZ241" s="239">
        <v>56.36</v>
      </c>
      <c r="BA241" s="203">
        <v>2002</v>
      </c>
      <c r="BB241" s="204">
        <v>39294</v>
      </c>
      <c r="BC241" s="203" t="s">
        <v>3092</v>
      </c>
    </row>
    <row r="242" spans="1:55" x14ac:dyDescent="0.2">
      <c r="A242" s="184" t="s">
        <v>673</v>
      </c>
      <c r="B242" s="184" t="s">
        <v>1325</v>
      </c>
      <c r="C242" s="184" t="s">
        <v>769</v>
      </c>
      <c r="D242" s="185" t="s">
        <v>1043</v>
      </c>
      <c r="E242" s="184" t="s">
        <v>1326</v>
      </c>
      <c r="F242" s="184" t="s">
        <v>1326</v>
      </c>
      <c r="G242" s="186">
        <f>IF(ALECA_Input!$F$13="ICAO (3000ft)",'Aircraft Calc'!C$211,'Aircraft Calc'!G$211)</f>
        <v>0.7</v>
      </c>
      <c r="H242" s="186">
        <f>IF(ALECA_Input!$F$13="ICAO (3000ft)",'Aircraft Calc'!D$211,'Aircraft Calc'!H$211)</f>
        <v>2.2000000000000002</v>
      </c>
      <c r="I242" s="186">
        <f>IF(ALECA_Input!$F$13="ICAO (3000ft)",'Aircraft Calc'!E$211,'Aircraft Calc'!I$211)</f>
        <v>4</v>
      </c>
      <c r="J242" s="189">
        <v>1</v>
      </c>
      <c r="K242" s="187">
        <f t="shared" si="49"/>
        <v>88.003799999999998</v>
      </c>
      <c r="L242" s="187">
        <f t="shared" si="50"/>
        <v>0.793784304</v>
      </c>
      <c r="M242" s="187">
        <f t="shared" si="51"/>
        <v>6.7950119999999996E-3</v>
      </c>
      <c r="N242" s="187">
        <f t="shared" si="52"/>
        <v>5.2339199999999995E-2</v>
      </c>
      <c r="O242" s="187">
        <f t="shared" si="53"/>
        <v>1.0413578506999872E-2</v>
      </c>
      <c r="P242" s="188">
        <f t="shared" si="54"/>
        <v>7.8457304753414016E+16</v>
      </c>
      <c r="Q242" s="187">
        <f t="shared" si="55"/>
        <v>2934</v>
      </c>
      <c r="R242" s="219">
        <f t="shared" si="56"/>
        <v>10.914480000000001</v>
      </c>
      <c r="S242" s="219">
        <f t="shared" si="57"/>
        <v>13.760460000000002</v>
      </c>
      <c r="T242" s="219">
        <f t="shared" si="58"/>
        <v>139.62906000000001</v>
      </c>
      <c r="U242" s="219">
        <f t="shared" si="59"/>
        <v>0.35931995190366317</v>
      </c>
      <c r="V242" s="188">
        <f t="shared" si="60"/>
        <v>6598289132417700</v>
      </c>
      <c r="W242" s="323">
        <v>0.39910000000000001</v>
      </c>
      <c r="X242" s="323">
        <v>0.32879999999999998</v>
      </c>
      <c r="Y242" s="323">
        <v>0.11600000000000001</v>
      </c>
      <c r="Z242" s="323">
        <v>4.8899999999999999E-2</v>
      </c>
      <c r="AA242" s="323">
        <v>11.28</v>
      </c>
      <c r="AB242" s="323">
        <v>9.68</v>
      </c>
      <c r="AC242" s="323">
        <v>6.63</v>
      </c>
      <c r="AD242" s="323">
        <v>3.72</v>
      </c>
      <c r="AE242" s="323">
        <v>0.06</v>
      </c>
      <c r="AF242" s="323">
        <v>0.05</v>
      </c>
      <c r="AG242" s="323">
        <v>0.13</v>
      </c>
      <c r="AH242" s="323">
        <v>4.6900000000000004</v>
      </c>
      <c r="AI242" s="323">
        <v>0</v>
      </c>
      <c r="AJ242" s="323">
        <v>0</v>
      </c>
      <c r="AK242" s="323">
        <v>1.88</v>
      </c>
      <c r="AL242" s="323">
        <v>47.59</v>
      </c>
      <c r="AM242" s="323">
        <v>0.11178937320471928</v>
      </c>
      <c r="AN242" s="323">
        <v>6.3887622418685799E-2</v>
      </c>
      <c r="AO242" s="323">
        <v>3.4988733272302147E-2</v>
      </c>
      <c r="AP242" s="323">
        <v>4.4570304602475505E-2</v>
      </c>
      <c r="AQ242" s="323">
        <v>0.16764937320471929</v>
      </c>
      <c r="AR242" s="323">
        <v>0.11664762241868581</v>
      </c>
      <c r="AS242" s="323">
        <v>9.1261233272302136E-2</v>
      </c>
      <c r="AT242" s="323">
        <v>0.12246760460247551</v>
      </c>
      <c r="AU242" s="190">
        <v>705076377505933.38</v>
      </c>
      <c r="AV242" s="190">
        <v>402951122196042.5</v>
      </c>
      <c r="AW242" s="190">
        <v>1765443608954033.5</v>
      </c>
      <c r="AX242" s="190">
        <v>2248905634770858.8</v>
      </c>
      <c r="AY242" s="203">
        <v>1.1000000000000001</v>
      </c>
      <c r="AZ242" s="239">
        <v>41.01</v>
      </c>
      <c r="BA242" s="203">
        <v>1991</v>
      </c>
      <c r="BB242" s="204">
        <v>38819</v>
      </c>
      <c r="BC242" s="203" t="s">
        <v>1327</v>
      </c>
    </row>
    <row r="243" spans="1:55" x14ac:dyDescent="0.2">
      <c r="A243" s="184" t="s">
        <v>711</v>
      </c>
      <c r="B243" s="184" t="s">
        <v>3093</v>
      </c>
      <c r="C243" s="184" t="s">
        <v>769</v>
      </c>
      <c r="D243" s="185" t="s">
        <v>1043</v>
      </c>
      <c r="E243" s="184" t="s">
        <v>1329</v>
      </c>
      <c r="F243" s="184" t="s">
        <v>1329</v>
      </c>
      <c r="G243" s="186">
        <f>IF(ALECA_Input!$F$13="ICAO (3000ft)",'Aircraft Calc'!C$211,'Aircraft Calc'!G$211)</f>
        <v>0.7</v>
      </c>
      <c r="H243" s="186">
        <f>IF(ALECA_Input!$F$13="ICAO (3000ft)",'Aircraft Calc'!D$211,'Aircraft Calc'!H$211)</f>
        <v>2.2000000000000002</v>
      </c>
      <c r="I243" s="186">
        <f>IF(ALECA_Input!$F$13="ICAO (3000ft)",'Aircraft Calc'!E$211,'Aircraft Calc'!I$211)</f>
        <v>4</v>
      </c>
      <c r="J243" s="189">
        <v>1</v>
      </c>
      <c r="K243" s="187">
        <f t="shared" si="49"/>
        <v>170.05799999999999</v>
      </c>
      <c r="L243" s="187">
        <f t="shared" si="50"/>
        <v>2.2769420400000002</v>
      </c>
      <c r="M243" s="187">
        <f t="shared" si="51"/>
        <v>1.084392E-2</v>
      </c>
      <c r="N243" s="187">
        <f t="shared" si="52"/>
        <v>0.28297338</v>
      </c>
      <c r="O243" s="187">
        <f t="shared" si="53"/>
        <v>1.0852947778860585E-2</v>
      </c>
      <c r="P243" s="188">
        <f t="shared" si="54"/>
        <v>1.990283445542704E+16</v>
      </c>
      <c r="Q243" s="187">
        <f t="shared" si="55"/>
        <v>5040</v>
      </c>
      <c r="R243" s="219">
        <f t="shared" si="56"/>
        <v>17.942399999999999</v>
      </c>
      <c r="S243" s="219">
        <f t="shared" si="57"/>
        <v>27.417600000000004</v>
      </c>
      <c r="T243" s="219">
        <f t="shared" si="58"/>
        <v>256.08240000000001</v>
      </c>
      <c r="U243" s="219">
        <f t="shared" si="59"/>
        <v>0.45359375678283526</v>
      </c>
      <c r="V243" s="188">
        <f t="shared" si="60"/>
        <v>1900671268247762.5</v>
      </c>
      <c r="W243" s="323">
        <v>0.76900000000000002</v>
      </c>
      <c r="X243" s="323">
        <v>0.64</v>
      </c>
      <c r="Y243" s="323">
        <v>0.222</v>
      </c>
      <c r="Z243" s="323">
        <v>8.4000000000000005E-2</v>
      </c>
      <c r="AA243" s="323">
        <v>17.98</v>
      </c>
      <c r="AB243" s="323">
        <v>15.26</v>
      </c>
      <c r="AC243" s="323">
        <v>7.64</v>
      </c>
      <c r="AD243" s="323">
        <v>3.56</v>
      </c>
      <c r="AE243" s="323">
        <v>0.04</v>
      </c>
      <c r="AF243" s="323">
        <v>0.05</v>
      </c>
      <c r="AG243" s="323">
        <v>0.1</v>
      </c>
      <c r="AH243" s="323">
        <v>5.44</v>
      </c>
      <c r="AI243" s="323">
        <v>0.41</v>
      </c>
      <c r="AJ243" s="323">
        <v>0.38</v>
      </c>
      <c r="AK243" s="323">
        <v>4.46</v>
      </c>
      <c r="AL243" s="323">
        <v>50.81</v>
      </c>
      <c r="AM243" s="323">
        <v>2.811753001300854E-2</v>
      </c>
      <c r="AN243" s="323">
        <v>7.691331555890274E-3</v>
      </c>
      <c r="AO243" s="323">
        <v>3.7483037661191106E-3</v>
      </c>
      <c r="AP243" s="323">
        <v>7.4739612664355588E-3</v>
      </c>
      <c r="AQ243" s="323">
        <v>8.1677530013008537E-2</v>
      </c>
      <c r="AR243" s="323">
        <v>6.0451331555890275E-2</v>
      </c>
      <c r="AS243" s="323">
        <v>5.8333303766119102E-2</v>
      </c>
      <c r="AT243" s="323">
        <v>8.9998761266435565E-2</v>
      </c>
      <c r="AU243" s="190">
        <v>177342493634712.41</v>
      </c>
      <c r="AV243" s="190">
        <v>48510659252853.32</v>
      </c>
      <c r="AW243" s="190">
        <v>189129994413139.09</v>
      </c>
      <c r="AX243" s="190">
        <v>377117315128524.31</v>
      </c>
      <c r="AY243" s="203">
        <v>2.7</v>
      </c>
      <c r="AZ243" s="239">
        <v>75.400000000000006</v>
      </c>
      <c r="BA243" s="203">
        <v>2004</v>
      </c>
      <c r="BB243" s="204">
        <v>39296</v>
      </c>
      <c r="BC243" s="203" t="s">
        <v>1432</v>
      </c>
    </row>
    <row r="244" spans="1:55" x14ac:dyDescent="0.2">
      <c r="A244" s="184" t="s">
        <v>678</v>
      </c>
      <c r="B244" s="184" t="s">
        <v>1328</v>
      </c>
      <c r="C244" s="184" t="s">
        <v>769</v>
      </c>
      <c r="D244" s="185" t="s">
        <v>1043</v>
      </c>
      <c r="E244" s="184" t="s">
        <v>1329</v>
      </c>
      <c r="F244" s="184" t="s">
        <v>1329</v>
      </c>
      <c r="G244" s="186">
        <f>IF(ALECA_Input!$F$13="ICAO (3000ft)",'Aircraft Calc'!C$211,'Aircraft Calc'!G$211)</f>
        <v>0.7</v>
      </c>
      <c r="H244" s="186">
        <f>IF(ALECA_Input!$F$13="ICAO (3000ft)",'Aircraft Calc'!D$211,'Aircraft Calc'!H$211)</f>
        <v>2.2000000000000002</v>
      </c>
      <c r="I244" s="186">
        <f>IF(ALECA_Input!$F$13="ICAO (3000ft)",'Aircraft Calc'!E$211,'Aircraft Calc'!I$211)</f>
        <v>4</v>
      </c>
      <c r="J244" s="189">
        <v>1</v>
      </c>
      <c r="K244" s="187">
        <f t="shared" si="49"/>
        <v>170.05799999999999</v>
      </c>
      <c r="L244" s="187">
        <f t="shared" si="50"/>
        <v>2.2769420400000002</v>
      </c>
      <c r="M244" s="187">
        <f t="shared" si="51"/>
        <v>1.084392E-2</v>
      </c>
      <c r="N244" s="187">
        <f t="shared" si="52"/>
        <v>0.28297338</v>
      </c>
      <c r="O244" s="187">
        <f t="shared" si="53"/>
        <v>1.0852947778860585E-2</v>
      </c>
      <c r="P244" s="188">
        <f t="shared" si="54"/>
        <v>1.990283445542704E+16</v>
      </c>
      <c r="Q244" s="187">
        <f t="shared" si="55"/>
        <v>5040</v>
      </c>
      <c r="R244" s="219">
        <f t="shared" si="56"/>
        <v>17.942399999999999</v>
      </c>
      <c r="S244" s="219">
        <f t="shared" si="57"/>
        <v>27.417600000000004</v>
      </c>
      <c r="T244" s="219">
        <f t="shared" si="58"/>
        <v>256.08240000000001</v>
      </c>
      <c r="U244" s="219">
        <f t="shared" si="59"/>
        <v>0.45359375678283526</v>
      </c>
      <c r="V244" s="188">
        <f t="shared" si="60"/>
        <v>1900671268247762.5</v>
      </c>
      <c r="W244" s="323">
        <v>0.76900000000000002</v>
      </c>
      <c r="X244" s="323">
        <v>0.64</v>
      </c>
      <c r="Y244" s="323">
        <v>0.222</v>
      </c>
      <c r="Z244" s="323">
        <v>8.4000000000000005E-2</v>
      </c>
      <c r="AA244" s="323">
        <v>17.98</v>
      </c>
      <c r="AB244" s="323">
        <v>15.26</v>
      </c>
      <c r="AC244" s="323">
        <v>7.64</v>
      </c>
      <c r="AD244" s="323">
        <v>3.56</v>
      </c>
      <c r="AE244" s="323">
        <v>0.04</v>
      </c>
      <c r="AF244" s="323">
        <v>0.05</v>
      </c>
      <c r="AG244" s="323">
        <v>0.1</v>
      </c>
      <c r="AH244" s="323">
        <v>5.44</v>
      </c>
      <c r="AI244" s="323">
        <v>0.41</v>
      </c>
      <c r="AJ244" s="323">
        <v>0.38</v>
      </c>
      <c r="AK244" s="323">
        <v>4.46</v>
      </c>
      <c r="AL244" s="323">
        <v>50.81</v>
      </c>
      <c r="AM244" s="323">
        <v>2.811753001300854E-2</v>
      </c>
      <c r="AN244" s="323">
        <v>7.691331555890274E-3</v>
      </c>
      <c r="AO244" s="323">
        <v>3.7483037661191106E-3</v>
      </c>
      <c r="AP244" s="323">
        <v>7.4739612664355588E-3</v>
      </c>
      <c r="AQ244" s="323">
        <v>8.1677530013008537E-2</v>
      </c>
      <c r="AR244" s="323">
        <v>6.0451331555890275E-2</v>
      </c>
      <c r="AS244" s="323">
        <v>5.8333303766119102E-2</v>
      </c>
      <c r="AT244" s="323">
        <v>8.9998761266435565E-2</v>
      </c>
      <c r="AU244" s="190">
        <v>177342493634712.41</v>
      </c>
      <c r="AV244" s="190">
        <v>48510659252853.32</v>
      </c>
      <c r="AW244" s="190">
        <v>189129994413139.09</v>
      </c>
      <c r="AX244" s="190">
        <v>377117315128524.31</v>
      </c>
      <c r="AY244" s="203">
        <v>2.7</v>
      </c>
      <c r="AZ244" s="239">
        <v>75.44</v>
      </c>
      <c r="BA244" s="203">
        <v>2004</v>
      </c>
      <c r="BB244" s="204">
        <v>39294</v>
      </c>
      <c r="BC244" s="203" t="s">
        <v>1330</v>
      </c>
    </row>
    <row r="245" spans="1:55" x14ac:dyDescent="0.2">
      <c r="A245" s="184" t="s">
        <v>1332</v>
      </c>
      <c r="B245" s="184" t="s">
        <v>1331</v>
      </c>
      <c r="C245" s="184" t="s">
        <v>769</v>
      </c>
      <c r="D245" s="185" t="s">
        <v>1043</v>
      </c>
      <c r="E245" s="184" t="s">
        <v>1333</v>
      </c>
      <c r="F245" s="184" t="s">
        <v>1333</v>
      </c>
      <c r="G245" s="186">
        <f>IF(ALECA_Input!$F$13="ICAO (3000ft)",'Aircraft Calc'!C$211,'Aircraft Calc'!G$211)</f>
        <v>0.7</v>
      </c>
      <c r="H245" s="186">
        <f>IF(ALECA_Input!$F$13="ICAO (3000ft)",'Aircraft Calc'!D$211,'Aircraft Calc'!H$211)</f>
        <v>2.2000000000000002</v>
      </c>
      <c r="I245" s="186">
        <f>IF(ALECA_Input!$F$13="ICAO (3000ft)",'Aircraft Calc'!E$211,'Aircraft Calc'!I$211)</f>
        <v>4</v>
      </c>
      <c r="J245" s="189">
        <v>1</v>
      </c>
      <c r="K245" s="187">
        <f t="shared" si="49"/>
        <v>377.94000000000005</v>
      </c>
      <c r="L245" s="187">
        <f t="shared" si="50"/>
        <v>10.398309600000001</v>
      </c>
      <c r="M245" s="187">
        <f t="shared" si="51"/>
        <v>0.15983640000000002</v>
      </c>
      <c r="N245" s="187">
        <f t="shared" si="52"/>
        <v>0.88578600000000007</v>
      </c>
      <c r="O245" s="187">
        <f t="shared" si="53"/>
        <v>3.9694054557801187E-2</v>
      </c>
      <c r="P245" s="188">
        <f t="shared" si="54"/>
        <v>2.310429170234249E+17</v>
      </c>
      <c r="Q245" s="187">
        <f t="shared" si="55"/>
        <v>10368</v>
      </c>
      <c r="R245" s="219">
        <f t="shared" si="56"/>
        <v>46.655999999999999</v>
      </c>
      <c r="S245" s="219">
        <f t="shared" si="57"/>
        <v>217.72800000000001</v>
      </c>
      <c r="T245" s="219">
        <f t="shared" si="58"/>
        <v>561.94560000000001</v>
      </c>
      <c r="U245" s="219">
        <f t="shared" si="59"/>
        <v>2.5461913769949787</v>
      </c>
      <c r="V245" s="188">
        <f t="shared" si="60"/>
        <v>3.5077659393664892E+16</v>
      </c>
      <c r="W245" s="323">
        <v>1.736</v>
      </c>
      <c r="X245" s="323">
        <v>1.431</v>
      </c>
      <c r="Y245" s="323">
        <v>0.4839</v>
      </c>
      <c r="Z245" s="323">
        <v>0.17280000000000001</v>
      </c>
      <c r="AA245" s="323">
        <v>40</v>
      </c>
      <c r="AB245" s="323">
        <v>32.6</v>
      </c>
      <c r="AC245" s="323">
        <v>11.4</v>
      </c>
      <c r="AD245" s="323">
        <v>4.5</v>
      </c>
      <c r="AE245" s="323">
        <v>0.3</v>
      </c>
      <c r="AF245" s="323">
        <v>0.3</v>
      </c>
      <c r="AG245" s="323">
        <v>0.70000000000000007</v>
      </c>
      <c r="AH245" s="323">
        <v>21</v>
      </c>
      <c r="AI245" s="323">
        <v>0.5</v>
      </c>
      <c r="AJ245" s="323">
        <v>0.5</v>
      </c>
      <c r="AK245" s="323">
        <v>6.5</v>
      </c>
      <c r="AL245" s="323">
        <v>54.2</v>
      </c>
      <c r="AM245" s="323">
        <v>2.8821833585052945E-2</v>
      </c>
      <c r="AN245" s="323">
        <v>2.0433858393637951E-2</v>
      </c>
      <c r="AO245" s="323">
        <v>3.3011345730494836E-2</v>
      </c>
      <c r="AP245" s="323">
        <v>6.705173003423795E-2</v>
      </c>
      <c r="AQ245" s="323">
        <v>0.11228183358505295</v>
      </c>
      <c r="AR245" s="323">
        <v>9.2193858393637959E-2</v>
      </c>
      <c r="AS245" s="323">
        <v>0.12134634573049483</v>
      </c>
      <c r="AT245" s="323">
        <v>0.24558173003423792</v>
      </c>
      <c r="AU245" s="190">
        <v>181784667313709.25</v>
      </c>
      <c r="AV245" s="190">
        <v>128880147026776.91</v>
      </c>
      <c r="AW245" s="190">
        <v>1665669599676808.3</v>
      </c>
      <c r="AX245" s="190">
        <v>3383261901395147.5</v>
      </c>
      <c r="AY245" s="203">
        <v>21.8</v>
      </c>
      <c r="AZ245" s="239">
        <v>174.8</v>
      </c>
      <c r="BA245" s="203">
        <v>1979</v>
      </c>
      <c r="BB245" s="204">
        <v>39296</v>
      </c>
      <c r="BC245" s="203" t="s">
        <v>741</v>
      </c>
    </row>
    <row r="246" spans="1:55" x14ac:dyDescent="0.2">
      <c r="A246" s="184" t="s">
        <v>1335</v>
      </c>
      <c r="B246" s="184" t="s">
        <v>1334</v>
      </c>
      <c r="C246" s="184" t="s">
        <v>769</v>
      </c>
      <c r="D246" s="185" t="s">
        <v>1043</v>
      </c>
      <c r="E246" s="184" t="s">
        <v>1336</v>
      </c>
      <c r="F246" s="184" t="s">
        <v>1336</v>
      </c>
      <c r="G246" s="186">
        <f>IF(ALECA_Input!$F$13="ICAO (3000ft)",'Aircraft Calc'!C$211,'Aircraft Calc'!G$211)</f>
        <v>0.7</v>
      </c>
      <c r="H246" s="186">
        <f>IF(ALECA_Input!$F$13="ICAO (3000ft)",'Aircraft Calc'!D$211,'Aircraft Calc'!H$211)</f>
        <v>2.2000000000000002</v>
      </c>
      <c r="I246" s="186">
        <f>IF(ALECA_Input!$F$13="ICAO (3000ft)",'Aircraft Calc'!E$211,'Aircraft Calc'!I$211)</f>
        <v>4</v>
      </c>
      <c r="J246" s="189">
        <v>1</v>
      </c>
      <c r="K246" s="187">
        <f t="shared" si="49"/>
        <v>377.94000000000005</v>
      </c>
      <c r="L246" s="187">
        <f t="shared" si="50"/>
        <v>10.398309600000001</v>
      </c>
      <c r="M246" s="187">
        <f t="shared" si="51"/>
        <v>0.15983640000000002</v>
      </c>
      <c r="N246" s="187">
        <f t="shared" si="52"/>
        <v>0.88578600000000007</v>
      </c>
      <c r="O246" s="187">
        <f t="shared" si="53"/>
        <v>3.9694054557801187E-2</v>
      </c>
      <c r="P246" s="188">
        <f t="shared" si="54"/>
        <v>2.310429170234249E+17</v>
      </c>
      <c r="Q246" s="187">
        <f t="shared" si="55"/>
        <v>10368</v>
      </c>
      <c r="R246" s="219">
        <f t="shared" si="56"/>
        <v>46.655999999999999</v>
      </c>
      <c r="S246" s="219">
        <f t="shared" si="57"/>
        <v>217.72800000000001</v>
      </c>
      <c r="T246" s="219">
        <f t="shared" si="58"/>
        <v>561.94560000000001</v>
      </c>
      <c r="U246" s="219">
        <f t="shared" si="59"/>
        <v>2.5461913769949787</v>
      </c>
      <c r="V246" s="188">
        <f t="shared" si="60"/>
        <v>3.5077659393664892E+16</v>
      </c>
      <c r="W246" s="323">
        <v>1.736</v>
      </c>
      <c r="X246" s="323">
        <v>1.431</v>
      </c>
      <c r="Y246" s="323">
        <v>0.4839</v>
      </c>
      <c r="Z246" s="323">
        <v>0.17280000000000001</v>
      </c>
      <c r="AA246" s="323">
        <v>40</v>
      </c>
      <c r="AB246" s="323">
        <v>32.6</v>
      </c>
      <c r="AC246" s="323">
        <v>11.4</v>
      </c>
      <c r="AD246" s="323">
        <v>4.5</v>
      </c>
      <c r="AE246" s="323">
        <v>0.3</v>
      </c>
      <c r="AF246" s="323">
        <v>0.3</v>
      </c>
      <c r="AG246" s="323">
        <v>0.70000000000000007</v>
      </c>
      <c r="AH246" s="323">
        <v>21</v>
      </c>
      <c r="AI246" s="323">
        <v>0.5</v>
      </c>
      <c r="AJ246" s="323">
        <v>0.5</v>
      </c>
      <c r="AK246" s="323">
        <v>6.5</v>
      </c>
      <c r="AL246" s="323">
        <v>54.2</v>
      </c>
      <c r="AM246" s="323">
        <v>2.8821833585052945E-2</v>
      </c>
      <c r="AN246" s="323">
        <v>2.0433858393637951E-2</v>
      </c>
      <c r="AO246" s="323">
        <v>3.3011345730494836E-2</v>
      </c>
      <c r="AP246" s="323">
        <v>6.705173003423795E-2</v>
      </c>
      <c r="AQ246" s="323">
        <v>0.11228183358505295</v>
      </c>
      <c r="AR246" s="323">
        <v>9.2193858393637959E-2</v>
      </c>
      <c r="AS246" s="323">
        <v>0.12134634573049483</v>
      </c>
      <c r="AT246" s="323">
        <v>0.24558173003423792</v>
      </c>
      <c r="AU246" s="190">
        <v>181784667313709.25</v>
      </c>
      <c r="AV246" s="190">
        <v>128880147026776.91</v>
      </c>
      <c r="AW246" s="190">
        <v>1665669599676808.3</v>
      </c>
      <c r="AX246" s="190">
        <v>3383261901395147.5</v>
      </c>
      <c r="AY246" s="203">
        <v>21.8</v>
      </c>
      <c r="AZ246" s="239">
        <v>174.8</v>
      </c>
      <c r="BA246" s="203">
        <v>1979</v>
      </c>
      <c r="BB246" s="204">
        <v>39296</v>
      </c>
      <c r="BC246" s="203" t="s">
        <v>741</v>
      </c>
    </row>
    <row r="247" spans="1:55" x14ac:dyDescent="0.2">
      <c r="A247" s="184" t="s">
        <v>1338</v>
      </c>
      <c r="B247" s="184" t="s">
        <v>1337</v>
      </c>
      <c r="C247" s="184" t="s">
        <v>769</v>
      </c>
      <c r="D247" s="185" t="s">
        <v>1043</v>
      </c>
      <c r="E247" s="184" t="s">
        <v>1339</v>
      </c>
      <c r="F247" s="184" t="s">
        <v>1340</v>
      </c>
      <c r="G247" s="186">
        <f>IF(ALECA_Input!$F$13="ICAO (3000ft)",'Aircraft Calc'!C$211,'Aircraft Calc'!G$211)</f>
        <v>0.7</v>
      </c>
      <c r="H247" s="186">
        <f>IF(ALECA_Input!$F$13="ICAO (3000ft)",'Aircraft Calc'!D$211,'Aircraft Calc'!H$211)</f>
        <v>2.2000000000000002</v>
      </c>
      <c r="I247" s="186">
        <f>IF(ALECA_Input!$F$13="ICAO (3000ft)",'Aircraft Calc'!E$211,'Aircraft Calc'!I$211)</f>
        <v>4</v>
      </c>
      <c r="J247" s="189">
        <v>1</v>
      </c>
      <c r="K247" s="187">
        <f t="shared" si="49"/>
        <v>392.928</v>
      </c>
      <c r="L247" s="187">
        <f t="shared" si="50"/>
        <v>11.286084000000001</v>
      </c>
      <c r="M247" s="187">
        <f t="shared" si="51"/>
        <v>0.15344639999999998</v>
      </c>
      <c r="N247" s="187">
        <f t="shared" si="52"/>
        <v>0.78926399999999997</v>
      </c>
      <c r="O247" s="187">
        <f t="shared" si="53"/>
        <v>4.054374255352057E-2</v>
      </c>
      <c r="P247" s="188">
        <f t="shared" si="54"/>
        <v>2.3686862152904182E+17</v>
      </c>
      <c r="Q247" s="187">
        <f t="shared" si="55"/>
        <v>10559.999999999998</v>
      </c>
      <c r="R247" s="219">
        <f t="shared" si="56"/>
        <v>48.576000000000001</v>
      </c>
      <c r="S247" s="219">
        <f t="shared" si="57"/>
        <v>210.14400000000001</v>
      </c>
      <c r="T247" s="219">
        <f t="shared" si="58"/>
        <v>549.11999999999989</v>
      </c>
      <c r="U247" s="219">
        <f t="shared" si="59"/>
        <v>2.5216723491615527</v>
      </c>
      <c r="V247" s="188">
        <f t="shared" si="60"/>
        <v>3.5727245678732752E+16</v>
      </c>
      <c r="W247" s="323">
        <v>1.8120000000000001</v>
      </c>
      <c r="X247" s="323">
        <v>1.502</v>
      </c>
      <c r="Y247" s="323">
        <v>0.49399999999999999</v>
      </c>
      <c r="Z247" s="323">
        <v>0.17599999999999999</v>
      </c>
      <c r="AA247" s="323">
        <v>41.6</v>
      </c>
      <c r="AB247" s="323">
        <v>33.9</v>
      </c>
      <c r="AC247" s="323">
        <v>11.8</v>
      </c>
      <c r="AD247" s="323">
        <v>4.6000000000000005</v>
      </c>
      <c r="AE247" s="323">
        <v>0.3</v>
      </c>
      <c r="AF247" s="323">
        <v>0.3</v>
      </c>
      <c r="AG247" s="323">
        <v>0.6</v>
      </c>
      <c r="AH247" s="323">
        <v>19.900000000000002</v>
      </c>
      <c r="AI247" s="323">
        <v>0.5</v>
      </c>
      <c r="AJ247" s="323">
        <v>0.5</v>
      </c>
      <c r="AK247" s="323">
        <v>5.5</v>
      </c>
      <c r="AL247" s="323">
        <v>52</v>
      </c>
      <c r="AM247" s="323">
        <v>2.8821833585052945E-2</v>
      </c>
      <c r="AN247" s="323">
        <v>2.0433858393637951E-2</v>
      </c>
      <c r="AO247" s="323">
        <v>3.3011345730494836E-2</v>
      </c>
      <c r="AP247" s="323">
        <v>6.705173003423795E-2</v>
      </c>
      <c r="AQ247" s="323">
        <v>0.11228183358505295</v>
      </c>
      <c r="AR247" s="323">
        <v>9.2193858393637959E-2</v>
      </c>
      <c r="AS247" s="323">
        <v>0.11572134573049483</v>
      </c>
      <c r="AT247" s="323">
        <v>0.23879473003423798</v>
      </c>
      <c r="AU247" s="190">
        <v>181784667313709.25</v>
      </c>
      <c r="AV247" s="190">
        <v>128880147026776.91</v>
      </c>
      <c r="AW247" s="190">
        <v>1665669599676808.3</v>
      </c>
      <c r="AX247" s="190">
        <v>3383261901395147.5</v>
      </c>
      <c r="AY247" s="203">
        <v>21.8</v>
      </c>
      <c r="AZ247" s="239">
        <v>181.9</v>
      </c>
      <c r="BA247" s="203">
        <v>1979</v>
      </c>
      <c r="BB247" s="204">
        <v>39296</v>
      </c>
      <c r="BC247" s="203" t="s">
        <v>741</v>
      </c>
    </row>
    <row r="248" spans="1:55" x14ac:dyDescent="0.2">
      <c r="A248" s="184" t="s">
        <v>1342</v>
      </c>
      <c r="B248" s="184" t="s">
        <v>1341</v>
      </c>
      <c r="C248" s="184" t="s">
        <v>769</v>
      </c>
      <c r="D248" s="185" t="s">
        <v>1043</v>
      </c>
      <c r="E248" s="184" t="s">
        <v>1343</v>
      </c>
      <c r="F248" s="184" t="s">
        <v>1344</v>
      </c>
      <c r="G248" s="186">
        <f>IF(ALECA_Input!$F$13="ICAO (3000ft)",'Aircraft Calc'!C$211,'Aircraft Calc'!G$211)</f>
        <v>0.7</v>
      </c>
      <c r="H248" s="186">
        <f>IF(ALECA_Input!$F$13="ICAO (3000ft)",'Aircraft Calc'!D$211,'Aircraft Calc'!H$211)</f>
        <v>2.2000000000000002</v>
      </c>
      <c r="I248" s="186">
        <f>IF(ALECA_Input!$F$13="ICAO (3000ft)",'Aircraft Calc'!E$211,'Aircraft Calc'!I$211)</f>
        <v>4</v>
      </c>
      <c r="J248" s="189">
        <v>1</v>
      </c>
      <c r="K248" s="187">
        <f t="shared" si="49"/>
        <v>392.928</v>
      </c>
      <c r="L248" s="187">
        <f t="shared" si="50"/>
        <v>11.286084000000001</v>
      </c>
      <c r="M248" s="187">
        <f t="shared" si="51"/>
        <v>0.15344639999999998</v>
      </c>
      <c r="N248" s="187">
        <f t="shared" si="52"/>
        <v>0.78926399999999997</v>
      </c>
      <c r="O248" s="187">
        <f t="shared" si="53"/>
        <v>4.054374255352057E-2</v>
      </c>
      <c r="P248" s="188">
        <f t="shared" si="54"/>
        <v>2.3686862152904182E+17</v>
      </c>
      <c r="Q248" s="187">
        <f t="shared" si="55"/>
        <v>10559.999999999998</v>
      </c>
      <c r="R248" s="219">
        <f t="shared" si="56"/>
        <v>48.576000000000001</v>
      </c>
      <c r="S248" s="219">
        <f t="shared" si="57"/>
        <v>210.14400000000001</v>
      </c>
      <c r="T248" s="219">
        <f t="shared" si="58"/>
        <v>549.11999999999989</v>
      </c>
      <c r="U248" s="219">
        <f t="shared" si="59"/>
        <v>2.5216723491615527</v>
      </c>
      <c r="V248" s="188">
        <f t="shared" si="60"/>
        <v>3.5727245678732752E+16</v>
      </c>
      <c r="W248" s="323">
        <v>1.8120000000000001</v>
      </c>
      <c r="X248" s="323">
        <v>1.502</v>
      </c>
      <c r="Y248" s="323">
        <v>0.49399999999999999</v>
      </c>
      <c r="Z248" s="323">
        <v>0.17599999999999999</v>
      </c>
      <c r="AA248" s="323">
        <v>41.6</v>
      </c>
      <c r="AB248" s="323">
        <v>33.9</v>
      </c>
      <c r="AC248" s="323">
        <v>11.8</v>
      </c>
      <c r="AD248" s="323">
        <v>4.6000000000000005</v>
      </c>
      <c r="AE248" s="323">
        <v>0.3</v>
      </c>
      <c r="AF248" s="323">
        <v>0.3</v>
      </c>
      <c r="AG248" s="323">
        <v>0.6</v>
      </c>
      <c r="AH248" s="323">
        <v>19.900000000000002</v>
      </c>
      <c r="AI248" s="323">
        <v>0.5</v>
      </c>
      <c r="AJ248" s="323">
        <v>0.5</v>
      </c>
      <c r="AK248" s="323">
        <v>5.5</v>
      </c>
      <c r="AL248" s="323">
        <v>52</v>
      </c>
      <c r="AM248" s="323">
        <v>2.8821833585052945E-2</v>
      </c>
      <c r="AN248" s="323">
        <v>2.0433858393637951E-2</v>
      </c>
      <c r="AO248" s="323">
        <v>3.3011345730494836E-2</v>
      </c>
      <c r="AP248" s="323">
        <v>6.705173003423795E-2</v>
      </c>
      <c r="AQ248" s="323">
        <v>0.11228183358505295</v>
      </c>
      <c r="AR248" s="323">
        <v>9.2193858393637959E-2</v>
      </c>
      <c r="AS248" s="323">
        <v>0.11572134573049483</v>
      </c>
      <c r="AT248" s="323">
        <v>0.23879473003423798</v>
      </c>
      <c r="AU248" s="190">
        <v>181784667313709.25</v>
      </c>
      <c r="AV248" s="190">
        <v>128880147026776.91</v>
      </c>
      <c r="AW248" s="190">
        <v>1665669599676808.3</v>
      </c>
      <c r="AX248" s="190">
        <v>3383261901395147.5</v>
      </c>
      <c r="AY248" s="203">
        <v>21.8</v>
      </c>
      <c r="AZ248" s="239">
        <v>181.9</v>
      </c>
      <c r="BA248" s="203">
        <v>1979</v>
      </c>
      <c r="BB248" s="204">
        <v>39296</v>
      </c>
      <c r="BC248" s="203" t="s">
        <v>741</v>
      </c>
    </row>
    <row r="249" spans="1:55" x14ac:dyDescent="0.2">
      <c r="A249" s="184" t="s">
        <v>1346</v>
      </c>
      <c r="B249" s="184" t="s">
        <v>1345</v>
      </c>
      <c r="C249" s="184" t="s">
        <v>769</v>
      </c>
      <c r="D249" s="185" t="s">
        <v>1043</v>
      </c>
      <c r="E249" s="184" t="s">
        <v>1347</v>
      </c>
      <c r="F249" s="184" t="s">
        <v>1347</v>
      </c>
      <c r="G249" s="186">
        <f>IF(ALECA_Input!$F$13="ICAO (3000ft)",'Aircraft Calc'!C$211,'Aircraft Calc'!G$211)</f>
        <v>0.7</v>
      </c>
      <c r="H249" s="186">
        <f>IF(ALECA_Input!$F$13="ICAO (3000ft)",'Aircraft Calc'!D$211,'Aircraft Calc'!H$211)</f>
        <v>2.2000000000000002</v>
      </c>
      <c r="I249" s="186">
        <f>IF(ALECA_Input!$F$13="ICAO (3000ft)",'Aircraft Calc'!E$211,'Aircraft Calc'!I$211)</f>
        <v>4</v>
      </c>
      <c r="J249" s="189">
        <v>1</v>
      </c>
      <c r="K249" s="187">
        <f t="shared" si="49"/>
        <v>467.1</v>
      </c>
      <c r="L249" s="187">
        <f t="shared" si="50"/>
        <v>7.8667935600000014</v>
      </c>
      <c r="M249" s="187">
        <f t="shared" si="51"/>
        <v>3.3317399999999997E-2</v>
      </c>
      <c r="N249" s="187">
        <f t="shared" si="52"/>
        <v>0.39340728000000003</v>
      </c>
      <c r="O249" s="187">
        <f t="shared" si="53"/>
        <v>3.4439670839722623E-2</v>
      </c>
      <c r="P249" s="188">
        <f t="shared" si="54"/>
        <v>7.4693748546663344E+16</v>
      </c>
      <c r="Q249" s="187">
        <f t="shared" si="55"/>
        <v>11280</v>
      </c>
      <c r="R249" s="219">
        <f t="shared" si="56"/>
        <v>50.985600000000005</v>
      </c>
      <c r="S249" s="219">
        <f t="shared" si="57"/>
        <v>20.980799999999999</v>
      </c>
      <c r="T249" s="219">
        <f t="shared" si="58"/>
        <v>243.19679999999997</v>
      </c>
      <c r="U249" s="219">
        <f t="shared" si="59"/>
        <v>0.71983995969313752</v>
      </c>
      <c r="V249" s="188">
        <f t="shared" si="60"/>
        <v>1923420476558289.3</v>
      </c>
      <c r="W249" s="323">
        <v>2.1480000000000001</v>
      </c>
      <c r="X249" s="323">
        <v>1.7769999999999999</v>
      </c>
      <c r="Y249" s="323">
        <v>0.59299999999999997</v>
      </c>
      <c r="Z249" s="323">
        <v>0.188</v>
      </c>
      <c r="AA249" s="323">
        <v>21.55</v>
      </c>
      <c r="AB249" s="323">
        <v>18.09</v>
      </c>
      <c r="AC249" s="323">
        <v>11.8</v>
      </c>
      <c r="AD249" s="323">
        <v>4.5200000000000005</v>
      </c>
      <c r="AE249" s="323">
        <v>0.05</v>
      </c>
      <c r="AF249" s="323">
        <v>0.05</v>
      </c>
      <c r="AG249" s="323">
        <v>0.12</v>
      </c>
      <c r="AH249" s="323">
        <v>1.86</v>
      </c>
      <c r="AI249" s="323">
        <v>0.04</v>
      </c>
      <c r="AJ249" s="323">
        <v>0.06</v>
      </c>
      <c r="AK249" s="323">
        <v>2.64</v>
      </c>
      <c r="AL249" s="323">
        <v>21.56</v>
      </c>
      <c r="AM249" s="323">
        <v>4.1478180925544748E-2</v>
      </c>
      <c r="AN249" s="323">
        <v>2.165785142162617E-2</v>
      </c>
      <c r="AO249" s="323">
        <v>2.6529075919150928E-3</v>
      </c>
      <c r="AP249" s="323">
        <v>3.3793992635760151E-3</v>
      </c>
      <c r="AQ249" s="323">
        <v>9.6188180925544764E-2</v>
      </c>
      <c r="AR249" s="323">
        <v>7.4417851421626185E-2</v>
      </c>
      <c r="AS249" s="323">
        <v>5.8362907591915092E-2</v>
      </c>
      <c r="AT249" s="323">
        <v>6.3815599263576023E-2</v>
      </c>
      <c r="AU249" s="190">
        <v>261610604962978.53</v>
      </c>
      <c r="AV249" s="190">
        <v>136600098803284.59</v>
      </c>
      <c r="AW249" s="190">
        <v>133859054480253.08</v>
      </c>
      <c r="AX249" s="190">
        <v>170515999694883.81</v>
      </c>
      <c r="AY249" s="203">
        <v>9.1999999999999993</v>
      </c>
      <c r="AZ249" s="239">
        <v>231.35</v>
      </c>
      <c r="BA249" s="203">
        <v>1995</v>
      </c>
      <c r="BB249" s="204">
        <v>39296</v>
      </c>
      <c r="BC249" s="203" t="s">
        <v>3094</v>
      </c>
    </row>
    <row r="250" spans="1:55" x14ac:dyDescent="0.2">
      <c r="A250" s="184" t="s">
        <v>664</v>
      </c>
      <c r="B250" s="184" t="s">
        <v>1348</v>
      </c>
      <c r="C250" s="184" t="s">
        <v>769</v>
      </c>
      <c r="D250" s="185" t="s">
        <v>1043</v>
      </c>
      <c r="E250" s="184" t="s">
        <v>246</v>
      </c>
      <c r="F250" s="184" t="s">
        <v>246</v>
      </c>
      <c r="G250" s="186">
        <f>IF(ALECA_Input!$F$13="ICAO (3000ft)",'Aircraft Calc'!C$211,'Aircraft Calc'!G$211)</f>
        <v>0.7</v>
      </c>
      <c r="H250" s="186">
        <f>IF(ALECA_Input!$F$13="ICAO (3000ft)",'Aircraft Calc'!D$211,'Aircraft Calc'!H$211)</f>
        <v>2.2000000000000002</v>
      </c>
      <c r="I250" s="186">
        <f>IF(ALECA_Input!$F$13="ICAO (3000ft)",'Aircraft Calc'!E$211,'Aircraft Calc'!I$211)</f>
        <v>4</v>
      </c>
      <c r="J250" s="189">
        <v>1</v>
      </c>
      <c r="K250" s="187">
        <f t="shared" si="49"/>
        <v>514.39800000000002</v>
      </c>
      <c r="L250" s="187">
        <f t="shared" si="50"/>
        <v>9.7582409400000003</v>
      </c>
      <c r="M250" s="187">
        <f t="shared" si="51"/>
        <v>3.6488699999999999E-2</v>
      </c>
      <c r="N250" s="187">
        <f t="shared" si="52"/>
        <v>0.34157490000000001</v>
      </c>
      <c r="O250" s="187">
        <f t="shared" si="53"/>
        <v>4.2760540974675576E-2</v>
      </c>
      <c r="P250" s="188">
        <f t="shared" si="54"/>
        <v>1.1243593878566358E+17</v>
      </c>
      <c r="Q250" s="187">
        <f t="shared" si="55"/>
        <v>12060</v>
      </c>
      <c r="R250" s="219">
        <f t="shared" si="56"/>
        <v>56.440799999999996</v>
      </c>
      <c r="S250" s="219">
        <f t="shared" si="57"/>
        <v>19.175400000000003</v>
      </c>
      <c r="T250" s="219">
        <f t="shared" si="58"/>
        <v>238.30560000000003</v>
      </c>
      <c r="U250" s="219">
        <f t="shared" si="59"/>
        <v>0.74952537311872691</v>
      </c>
      <c r="V250" s="188">
        <f t="shared" si="60"/>
        <v>2056422956320298.8</v>
      </c>
      <c r="W250" s="323">
        <v>2.4089999999999998</v>
      </c>
      <c r="X250" s="323">
        <v>1.9650000000000001</v>
      </c>
      <c r="Y250" s="323">
        <v>0.64100000000000001</v>
      </c>
      <c r="Z250" s="323">
        <v>0.20100000000000001</v>
      </c>
      <c r="AA250" s="323">
        <v>25.93</v>
      </c>
      <c r="AB250" s="323">
        <v>20.170000000000002</v>
      </c>
      <c r="AC250" s="323">
        <v>12.370000000000001</v>
      </c>
      <c r="AD250" s="323">
        <v>4.68</v>
      </c>
      <c r="AE250" s="323">
        <v>0.05</v>
      </c>
      <c r="AF250" s="323">
        <v>0.05</v>
      </c>
      <c r="AG250" s="323">
        <v>0.12</v>
      </c>
      <c r="AH250" s="323">
        <v>1.59</v>
      </c>
      <c r="AI250" s="323">
        <v>0.05</v>
      </c>
      <c r="AJ250" s="323">
        <v>0.04</v>
      </c>
      <c r="AK250" s="323">
        <v>2.12</v>
      </c>
      <c r="AL250" s="323">
        <v>19.760000000000002</v>
      </c>
      <c r="AM250" s="323">
        <v>4.704866652104861E-2</v>
      </c>
      <c r="AN250" s="323">
        <v>3.7787663310466131E-2</v>
      </c>
      <c r="AO250" s="323">
        <v>2.6529075919150928E-3</v>
      </c>
      <c r="AP250" s="323">
        <v>3.3793992635760151E-3</v>
      </c>
      <c r="AQ250" s="323">
        <v>0.1017586665210486</v>
      </c>
      <c r="AR250" s="323">
        <v>9.0547663310466125E-2</v>
      </c>
      <c r="AS250" s="323">
        <v>5.8362907591915092E-2</v>
      </c>
      <c r="AT250" s="323">
        <v>6.2149699263576025E-2</v>
      </c>
      <c r="AU250" s="190">
        <v>296744694116821.63</v>
      </c>
      <c r="AV250" s="190">
        <v>238333823668246.16</v>
      </c>
      <c r="AW250" s="190">
        <v>133859054480253.08</v>
      </c>
      <c r="AX250" s="190">
        <v>170515999694883.81</v>
      </c>
      <c r="AY250" s="203">
        <v>11.2</v>
      </c>
      <c r="AZ250" s="239">
        <v>254.35</v>
      </c>
      <c r="BA250" s="203">
        <v>1995</v>
      </c>
      <c r="BB250" s="204">
        <v>37448</v>
      </c>
      <c r="BC250" s="203" t="s">
        <v>3094</v>
      </c>
    </row>
    <row r="251" spans="1:55" x14ac:dyDescent="0.2">
      <c r="A251" s="184" t="s">
        <v>1350</v>
      </c>
      <c r="B251" s="184" t="s">
        <v>1349</v>
      </c>
      <c r="C251" s="184" t="s">
        <v>769</v>
      </c>
      <c r="D251" s="185" t="s">
        <v>1043</v>
      </c>
      <c r="E251" s="184" t="s">
        <v>1351</v>
      </c>
      <c r="F251" s="184" t="s">
        <v>1351</v>
      </c>
      <c r="G251" s="186">
        <f>IF(ALECA_Input!$F$13="ICAO (3000ft)",'Aircraft Calc'!C$211,'Aircraft Calc'!G$211)</f>
        <v>0.7</v>
      </c>
      <c r="H251" s="186">
        <f>IF(ALECA_Input!$F$13="ICAO (3000ft)",'Aircraft Calc'!D$211,'Aircraft Calc'!H$211)</f>
        <v>2.2000000000000002</v>
      </c>
      <c r="I251" s="186">
        <f>IF(ALECA_Input!$F$13="ICAO (3000ft)",'Aircraft Calc'!E$211,'Aircraft Calc'!I$211)</f>
        <v>4</v>
      </c>
      <c r="J251" s="189">
        <v>1</v>
      </c>
      <c r="K251" s="187">
        <f t="shared" si="49"/>
        <v>519.90000000000009</v>
      </c>
      <c r="L251" s="187">
        <f t="shared" si="50"/>
        <v>9.6689198400000009</v>
      </c>
      <c r="M251" s="187">
        <f t="shared" si="51"/>
        <v>3.5355000000000004E-2</v>
      </c>
      <c r="N251" s="187">
        <f t="shared" si="52"/>
        <v>0.34683599999999998</v>
      </c>
      <c r="O251" s="187">
        <f t="shared" si="53"/>
        <v>4.3112294974959123E-2</v>
      </c>
      <c r="P251" s="188">
        <f t="shared" si="54"/>
        <v>1.1357801088289357E+17</v>
      </c>
      <c r="Q251" s="187">
        <f t="shared" si="55"/>
        <v>11940.000000000002</v>
      </c>
      <c r="R251" s="219">
        <f t="shared" si="56"/>
        <v>56.476200000000013</v>
      </c>
      <c r="S251" s="219">
        <f t="shared" si="57"/>
        <v>18.387600000000003</v>
      </c>
      <c r="T251" s="219">
        <f t="shared" si="58"/>
        <v>229.60620000000003</v>
      </c>
      <c r="U251" s="219">
        <f t="shared" si="59"/>
        <v>0.73838391920709778</v>
      </c>
      <c r="V251" s="188">
        <f t="shared" si="60"/>
        <v>2035961036356913</v>
      </c>
      <c r="W251" s="323">
        <v>2.4319999999999999</v>
      </c>
      <c r="X251" s="323">
        <v>1.9830000000000001</v>
      </c>
      <c r="Y251" s="323">
        <v>0.65</v>
      </c>
      <c r="Z251" s="323">
        <v>0.19900000000000001</v>
      </c>
      <c r="AA251" s="323">
        <v>25.080000000000002</v>
      </c>
      <c r="AB251" s="323">
        <v>19.72</v>
      </c>
      <c r="AC251" s="323">
        <v>12.47</v>
      </c>
      <c r="AD251" s="323">
        <v>4.7300000000000004</v>
      </c>
      <c r="AE251" s="323">
        <v>0.05</v>
      </c>
      <c r="AF251" s="323">
        <v>0.05</v>
      </c>
      <c r="AG251" s="323">
        <v>0.11</v>
      </c>
      <c r="AH251" s="323">
        <v>1.54</v>
      </c>
      <c r="AI251" s="323">
        <v>0.04</v>
      </c>
      <c r="AJ251" s="323">
        <v>0.04</v>
      </c>
      <c r="AK251" s="323">
        <v>2.13</v>
      </c>
      <c r="AL251" s="323">
        <v>19.23</v>
      </c>
      <c r="AM251" s="323">
        <v>4.704866652104861E-2</v>
      </c>
      <c r="AN251" s="323">
        <v>3.7787663310466131E-2</v>
      </c>
      <c r="AO251" s="323">
        <v>2.6529075919150928E-3</v>
      </c>
      <c r="AP251" s="323">
        <v>3.3793992635760151E-3</v>
      </c>
      <c r="AQ251" s="323">
        <v>0.1017586665210486</v>
      </c>
      <c r="AR251" s="323">
        <v>9.0547663310466125E-2</v>
      </c>
      <c r="AS251" s="323">
        <v>5.7800407591915098E-2</v>
      </c>
      <c r="AT251" s="323">
        <v>6.1841199263576022E-2</v>
      </c>
      <c r="AU251" s="190">
        <v>296744694116821.63</v>
      </c>
      <c r="AV251" s="190">
        <v>238333823668246.16</v>
      </c>
      <c r="AW251" s="190">
        <v>133859054480253.08</v>
      </c>
      <c r="AX251" s="190">
        <v>170515999694883.81</v>
      </c>
      <c r="AY251" s="203">
        <v>11.1</v>
      </c>
      <c r="AZ251" s="239">
        <v>254.79</v>
      </c>
      <c r="BA251" s="203">
        <v>1995</v>
      </c>
      <c r="BB251" s="204">
        <v>39296</v>
      </c>
      <c r="BC251" s="203" t="s">
        <v>3094</v>
      </c>
    </row>
    <row r="252" spans="1:55" x14ac:dyDescent="0.2">
      <c r="A252" s="184" t="s">
        <v>1353</v>
      </c>
      <c r="B252" s="184" t="s">
        <v>1352</v>
      </c>
      <c r="C252" s="184" t="s">
        <v>769</v>
      </c>
      <c r="D252" s="185" t="s">
        <v>1043</v>
      </c>
      <c r="E252" s="184" t="s">
        <v>1354</v>
      </c>
      <c r="F252" s="184" t="s">
        <v>1354</v>
      </c>
      <c r="G252" s="186">
        <f>IF(ALECA_Input!$F$13="ICAO (3000ft)",'Aircraft Calc'!C$211,'Aircraft Calc'!G$211)</f>
        <v>0.7</v>
      </c>
      <c r="H252" s="186">
        <f>IF(ALECA_Input!$F$13="ICAO (3000ft)",'Aircraft Calc'!D$211,'Aircraft Calc'!H$211)</f>
        <v>2.2000000000000002</v>
      </c>
      <c r="I252" s="186">
        <f>IF(ALECA_Input!$F$13="ICAO (3000ft)",'Aircraft Calc'!E$211,'Aircraft Calc'!I$211)</f>
        <v>4</v>
      </c>
      <c r="J252" s="189">
        <v>1</v>
      </c>
      <c r="K252" s="187">
        <f t="shared" si="49"/>
        <v>565.43399999999997</v>
      </c>
      <c r="L252" s="187">
        <f t="shared" si="50"/>
        <v>11.56406964</v>
      </c>
      <c r="M252" s="187">
        <f t="shared" si="51"/>
        <v>3.8308500000000002E-2</v>
      </c>
      <c r="N252" s="187">
        <f t="shared" si="52"/>
        <v>0.32317625999999999</v>
      </c>
      <c r="O252" s="187">
        <f t="shared" si="53"/>
        <v>4.8876210702559195E-2</v>
      </c>
      <c r="P252" s="188">
        <f t="shared" si="54"/>
        <v>1.3580052178098782E+17</v>
      </c>
      <c r="Q252" s="187">
        <f t="shared" si="55"/>
        <v>12360</v>
      </c>
      <c r="R252" s="219">
        <f t="shared" si="56"/>
        <v>60.687599999999996</v>
      </c>
      <c r="S252" s="219">
        <f t="shared" si="57"/>
        <v>16.191600000000001</v>
      </c>
      <c r="T252" s="219">
        <f t="shared" si="58"/>
        <v>215.68199999999999</v>
      </c>
      <c r="U252" s="219">
        <f t="shared" si="59"/>
        <v>0.74681714689779954</v>
      </c>
      <c r="V252" s="188">
        <f t="shared" si="60"/>
        <v>2107577756228763.8</v>
      </c>
      <c r="W252" s="323">
        <v>2.6850000000000001</v>
      </c>
      <c r="X252" s="323">
        <v>2.1619999999999999</v>
      </c>
      <c r="Y252" s="323">
        <v>0.69699999999999995</v>
      </c>
      <c r="Z252" s="323">
        <v>0.20599999999999999</v>
      </c>
      <c r="AA252" s="323">
        <v>28.580000000000002</v>
      </c>
      <c r="AB252" s="323">
        <v>21.76</v>
      </c>
      <c r="AC252" s="323">
        <v>12.74</v>
      </c>
      <c r="AD252" s="323">
        <v>4.91</v>
      </c>
      <c r="AE252" s="323">
        <v>0.05</v>
      </c>
      <c r="AF252" s="323">
        <v>0.05</v>
      </c>
      <c r="AG252" s="323">
        <v>0.11</v>
      </c>
      <c r="AH252" s="323">
        <v>1.31</v>
      </c>
      <c r="AI252" s="323">
        <v>0.05</v>
      </c>
      <c r="AJ252" s="323">
        <v>0.04</v>
      </c>
      <c r="AK252" s="323">
        <v>1.83</v>
      </c>
      <c r="AL252" s="323">
        <v>17.45</v>
      </c>
      <c r="AM252" s="323">
        <v>4.911070392034176E-2</v>
      </c>
      <c r="AN252" s="323">
        <v>4.3599633824905018E-2</v>
      </c>
      <c r="AO252" s="323">
        <v>2.6529075919150928E-3</v>
      </c>
      <c r="AP252" s="323">
        <v>3.3793992635760151E-3</v>
      </c>
      <c r="AQ252" s="323">
        <v>0.10382070392034176</v>
      </c>
      <c r="AR252" s="323">
        <v>9.6359633824905006E-2</v>
      </c>
      <c r="AS252" s="323">
        <v>5.7800407591915098E-2</v>
      </c>
      <c r="AT252" s="323">
        <v>6.0422099263576015E-2</v>
      </c>
      <c r="AU252" s="190">
        <v>309750347678478.75</v>
      </c>
      <c r="AV252" s="190">
        <v>274991003139030.34</v>
      </c>
      <c r="AW252" s="190">
        <v>133859054480253.08</v>
      </c>
      <c r="AX252" s="190">
        <v>170515999694883.81</v>
      </c>
      <c r="AY252" s="203">
        <v>13.1</v>
      </c>
      <c r="AZ252" s="239">
        <v>272.53000000000003</v>
      </c>
      <c r="BA252" s="203">
        <v>1995</v>
      </c>
      <c r="BB252" s="204">
        <v>39296</v>
      </c>
      <c r="BC252" s="203" t="s">
        <v>3095</v>
      </c>
    </row>
    <row r="253" spans="1:55" x14ac:dyDescent="0.2">
      <c r="A253" s="184" t="s">
        <v>1356</v>
      </c>
      <c r="B253" s="184" t="s">
        <v>1355</v>
      </c>
      <c r="C253" s="184" t="s">
        <v>769</v>
      </c>
      <c r="D253" s="185" t="s">
        <v>1043</v>
      </c>
      <c r="E253" s="184" t="s">
        <v>1357</v>
      </c>
      <c r="F253" s="184" t="s">
        <v>1357</v>
      </c>
      <c r="G253" s="186">
        <f>IF(ALECA_Input!$F$13="ICAO (3000ft)",'Aircraft Calc'!C$211,'Aircraft Calc'!G$211)</f>
        <v>0.7</v>
      </c>
      <c r="H253" s="186">
        <f>IF(ALECA_Input!$F$13="ICAO (3000ft)",'Aircraft Calc'!D$211,'Aircraft Calc'!H$211)</f>
        <v>2.2000000000000002</v>
      </c>
      <c r="I253" s="186">
        <f>IF(ALECA_Input!$F$13="ICAO (3000ft)",'Aircraft Calc'!E$211,'Aircraft Calc'!I$211)</f>
        <v>4</v>
      </c>
      <c r="J253" s="189">
        <v>1</v>
      </c>
      <c r="K253" s="187">
        <f t="shared" si="49"/>
        <v>546.31200000000001</v>
      </c>
      <c r="L253" s="187">
        <f t="shared" si="50"/>
        <v>11.11769928</v>
      </c>
      <c r="M253" s="187">
        <f t="shared" si="51"/>
        <v>3.5908799999999998E-2</v>
      </c>
      <c r="N253" s="187">
        <f t="shared" si="52"/>
        <v>0.32561328</v>
      </c>
      <c r="O253" s="187">
        <f t="shared" si="53"/>
        <v>4.7267696755281509E-2</v>
      </c>
      <c r="P253" s="188">
        <f t="shared" si="54"/>
        <v>1.3224629094979307E+17</v>
      </c>
      <c r="Q253" s="187">
        <f t="shared" si="55"/>
        <v>12300</v>
      </c>
      <c r="R253" s="219">
        <f t="shared" si="56"/>
        <v>58.548000000000002</v>
      </c>
      <c r="S253" s="219">
        <f t="shared" si="57"/>
        <v>18.204000000000001</v>
      </c>
      <c r="T253" s="219">
        <f t="shared" si="58"/>
        <v>232.34700000000001</v>
      </c>
      <c r="U253" s="219">
        <f t="shared" si="59"/>
        <v>0.75609329094198507</v>
      </c>
      <c r="V253" s="188">
        <f t="shared" si="60"/>
        <v>2097346796247071</v>
      </c>
      <c r="W253" s="323">
        <v>2.58</v>
      </c>
      <c r="X253" s="323">
        <v>2.0960000000000001</v>
      </c>
      <c r="Y253" s="323">
        <v>0.67200000000000004</v>
      </c>
      <c r="Z253" s="323">
        <v>0.20500000000000002</v>
      </c>
      <c r="AA253" s="323">
        <v>28.57</v>
      </c>
      <c r="AB253" s="323">
        <v>21.69</v>
      </c>
      <c r="AC253" s="323">
        <v>12.530000000000001</v>
      </c>
      <c r="AD253" s="323">
        <v>4.76</v>
      </c>
      <c r="AE253" s="323">
        <v>0.04</v>
      </c>
      <c r="AF253" s="323">
        <v>0.05</v>
      </c>
      <c r="AG253" s="323">
        <v>0.11</v>
      </c>
      <c r="AH253" s="323">
        <v>1.48</v>
      </c>
      <c r="AI253" s="323">
        <v>0.06</v>
      </c>
      <c r="AJ253" s="323">
        <v>0.04</v>
      </c>
      <c r="AK253" s="323">
        <v>1.9100000000000001</v>
      </c>
      <c r="AL253" s="323">
        <v>18.89</v>
      </c>
      <c r="AM253" s="323">
        <v>4.704866652104861E-2</v>
      </c>
      <c r="AN253" s="323">
        <v>4.4986399760859809E-2</v>
      </c>
      <c r="AO253" s="323">
        <v>2.6529075919150928E-3</v>
      </c>
      <c r="AP253" s="323">
        <v>3.3793992635760151E-3</v>
      </c>
      <c r="AQ253" s="323">
        <v>0.10060866652104861</v>
      </c>
      <c r="AR253" s="323">
        <v>9.7746399760859831E-2</v>
      </c>
      <c r="AS253" s="323">
        <v>5.7800407591915098E-2</v>
      </c>
      <c r="AT253" s="323">
        <v>6.1470999263576021E-2</v>
      </c>
      <c r="AU253" s="190">
        <v>296744694116821.63</v>
      </c>
      <c r="AV253" s="190">
        <v>283737593933318.38</v>
      </c>
      <c r="AW253" s="190">
        <v>133859054480253.08</v>
      </c>
      <c r="AX253" s="190">
        <v>170515999694883.81</v>
      </c>
      <c r="AY253" s="203">
        <v>12.6</v>
      </c>
      <c r="AZ253" s="239">
        <v>267.2</v>
      </c>
      <c r="BA253" s="203">
        <v>1995</v>
      </c>
      <c r="BB253" s="204">
        <v>39296</v>
      </c>
      <c r="BC253" s="203" t="s">
        <v>3094</v>
      </c>
    </row>
    <row r="254" spans="1:55" x14ac:dyDescent="0.2">
      <c r="A254" s="184" t="s">
        <v>1359</v>
      </c>
      <c r="B254" s="184" t="s">
        <v>1358</v>
      </c>
      <c r="C254" s="184" t="s">
        <v>769</v>
      </c>
      <c r="D254" s="185" t="s">
        <v>1043</v>
      </c>
      <c r="E254" s="184" t="s">
        <v>1360</v>
      </c>
      <c r="F254" s="184" t="s">
        <v>1360</v>
      </c>
      <c r="G254" s="186">
        <f>IF(ALECA_Input!$F$13="ICAO (3000ft)",'Aircraft Calc'!C$211,'Aircraft Calc'!G$211)</f>
        <v>0.7</v>
      </c>
      <c r="H254" s="186">
        <f>IF(ALECA_Input!$F$13="ICAO (3000ft)",'Aircraft Calc'!D$211,'Aircraft Calc'!H$211)</f>
        <v>2.2000000000000002</v>
      </c>
      <c r="I254" s="186">
        <f>IF(ALECA_Input!$F$13="ICAO (3000ft)",'Aircraft Calc'!E$211,'Aircraft Calc'!I$211)</f>
        <v>4</v>
      </c>
      <c r="J254" s="189">
        <v>1</v>
      </c>
      <c r="K254" s="187">
        <f t="shared" si="49"/>
        <v>550.35599999999999</v>
      </c>
      <c r="L254" s="187">
        <f t="shared" si="50"/>
        <v>10.89644904</v>
      </c>
      <c r="M254" s="187">
        <f t="shared" si="51"/>
        <v>3.73386E-2</v>
      </c>
      <c r="N254" s="187">
        <f t="shared" si="52"/>
        <v>0.33245891999999999</v>
      </c>
      <c r="O254" s="187">
        <f t="shared" si="53"/>
        <v>4.7505121468387347E-2</v>
      </c>
      <c r="P254" s="188">
        <f t="shared" si="54"/>
        <v>1.318498308244245E+17</v>
      </c>
      <c r="Q254" s="187">
        <f t="shared" si="55"/>
        <v>12180.000000000002</v>
      </c>
      <c r="R254" s="219">
        <f t="shared" si="56"/>
        <v>58.585800000000013</v>
      </c>
      <c r="S254" s="219">
        <f t="shared" si="57"/>
        <v>17.417400000000001</v>
      </c>
      <c r="T254" s="219">
        <f t="shared" si="58"/>
        <v>224.35560000000004</v>
      </c>
      <c r="U254" s="219">
        <f t="shared" si="59"/>
        <v>0.74495924103035593</v>
      </c>
      <c r="V254" s="188">
        <f t="shared" si="60"/>
        <v>2076884876283685</v>
      </c>
      <c r="W254" s="323">
        <v>2.5939999999999999</v>
      </c>
      <c r="X254" s="323">
        <v>2.1040000000000001</v>
      </c>
      <c r="Y254" s="323">
        <v>0.68200000000000005</v>
      </c>
      <c r="Z254" s="323">
        <v>0.20300000000000001</v>
      </c>
      <c r="AA254" s="323">
        <v>27.38</v>
      </c>
      <c r="AB254" s="323">
        <v>21.05</v>
      </c>
      <c r="AC254" s="323">
        <v>12.63</v>
      </c>
      <c r="AD254" s="323">
        <v>4.8100000000000005</v>
      </c>
      <c r="AE254" s="323">
        <v>0.05</v>
      </c>
      <c r="AF254" s="323">
        <v>0.05</v>
      </c>
      <c r="AG254" s="323">
        <v>0.11</v>
      </c>
      <c r="AH254" s="323">
        <v>1.43</v>
      </c>
      <c r="AI254" s="323">
        <v>0.05</v>
      </c>
      <c r="AJ254" s="323">
        <v>0.04</v>
      </c>
      <c r="AK254" s="323">
        <v>1.93</v>
      </c>
      <c r="AL254" s="323">
        <v>18.420000000000002</v>
      </c>
      <c r="AM254" s="323">
        <v>4.704866652104861E-2</v>
      </c>
      <c r="AN254" s="323">
        <v>4.4306005421158375E-2</v>
      </c>
      <c r="AO254" s="323">
        <v>2.6529075919150928E-3</v>
      </c>
      <c r="AP254" s="323">
        <v>3.3793992635760151E-3</v>
      </c>
      <c r="AQ254" s="323">
        <v>0.1017586665210486</v>
      </c>
      <c r="AR254" s="323">
        <v>9.7066005421158383E-2</v>
      </c>
      <c r="AS254" s="323">
        <v>5.7800407591915098E-2</v>
      </c>
      <c r="AT254" s="323">
        <v>6.1162499263576017E-2</v>
      </c>
      <c r="AU254" s="190">
        <v>296744694116821.63</v>
      </c>
      <c r="AV254" s="190">
        <v>279446220231511.31</v>
      </c>
      <c r="AW254" s="190">
        <v>133859054480253.08</v>
      </c>
      <c r="AX254" s="190">
        <v>170515999694883.81</v>
      </c>
      <c r="AY254" s="203">
        <v>12.4</v>
      </c>
      <c r="AZ254" s="239">
        <v>267.03000000000003</v>
      </c>
      <c r="BA254" s="203">
        <v>1995</v>
      </c>
      <c r="BB254" s="204">
        <v>39296</v>
      </c>
      <c r="BC254" s="203" t="s">
        <v>3094</v>
      </c>
    </row>
    <row r="255" spans="1:55" x14ac:dyDescent="0.2">
      <c r="A255" s="184" t="s">
        <v>1362</v>
      </c>
      <c r="B255" s="184" t="s">
        <v>1361</v>
      </c>
      <c r="C255" s="184" t="s">
        <v>769</v>
      </c>
      <c r="D255" s="185" t="s">
        <v>1043</v>
      </c>
      <c r="E255" s="184" t="s">
        <v>1363</v>
      </c>
      <c r="F255" s="184" t="s">
        <v>1363</v>
      </c>
      <c r="G255" s="186">
        <f>IF(ALECA_Input!$F$13="ICAO (3000ft)",'Aircraft Calc'!C$211,'Aircraft Calc'!G$211)</f>
        <v>0.7</v>
      </c>
      <c r="H255" s="186">
        <f>IF(ALECA_Input!$F$13="ICAO (3000ft)",'Aircraft Calc'!D$211,'Aircraft Calc'!H$211)</f>
        <v>2.2000000000000002</v>
      </c>
      <c r="I255" s="186">
        <f>IF(ALECA_Input!$F$13="ICAO (3000ft)",'Aircraft Calc'!E$211,'Aircraft Calc'!I$211)</f>
        <v>4</v>
      </c>
      <c r="J255" s="189">
        <v>1</v>
      </c>
      <c r="K255" s="187">
        <f t="shared" si="49"/>
        <v>527.6400000000001</v>
      </c>
      <c r="L255" s="187">
        <f t="shared" si="50"/>
        <v>10.9856856</v>
      </c>
      <c r="M255" s="187">
        <f t="shared" si="51"/>
        <v>5.8119600000000007E-2</v>
      </c>
      <c r="N255" s="187">
        <f t="shared" si="52"/>
        <v>0.49042079999999999</v>
      </c>
      <c r="O255" s="187">
        <f t="shared" si="53"/>
        <v>5.0709852591838189E-2</v>
      </c>
      <c r="P255" s="188">
        <f t="shared" si="54"/>
        <v>2.7067492189739133E+17</v>
      </c>
      <c r="Q255" s="187">
        <f t="shared" si="55"/>
        <v>11778</v>
      </c>
      <c r="R255" s="219">
        <f t="shared" si="56"/>
        <v>44.167500000000004</v>
      </c>
      <c r="S255" s="219">
        <f t="shared" si="57"/>
        <v>114.71772000000001</v>
      </c>
      <c r="T255" s="219">
        <f t="shared" si="58"/>
        <v>516.93642</v>
      </c>
      <c r="U255" s="219">
        <f t="shared" si="59"/>
        <v>1.8997941740798792</v>
      </c>
      <c r="V255" s="188">
        <f t="shared" si="60"/>
        <v>3.1048256791956732E+16</v>
      </c>
      <c r="W255" s="323">
        <v>2.54</v>
      </c>
      <c r="X255" s="323">
        <v>2.02</v>
      </c>
      <c r="Y255" s="323">
        <v>0.64300000000000002</v>
      </c>
      <c r="Z255" s="323">
        <v>0.1963</v>
      </c>
      <c r="AA255" s="323">
        <v>32.160000000000004</v>
      </c>
      <c r="AB255" s="323">
        <v>23.09</v>
      </c>
      <c r="AC255" s="323">
        <v>9.06</v>
      </c>
      <c r="AD255" s="323">
        <v>3.75</v>
      </c>
      <c r="AE255" s="323">
        <v>7.0000000000000007E-2</v>
      </c>
      <c r="AF255" s="323">
        <v>0.08</v>
      </c>
      <c r="AG255" s="323">
        <v>0.19</v>
      </c>
      <c r="AH255" s="323">
        <v>9.74</v>
      </c>
      <c r="AI255" s="323">
        <v>0.52</v>
      </c>
      <c r="AJ255" s="323">
        <v>0.52</v>
      </c>
      <c r="AK255" s="323">
        <v>1.92</v>
      </c>
      <c r="AL255" s="323">
        <v>43.89</v>
      </c>
      <c r="AM255" s="323">
        <v>5.2355946203929402E-2</v>
      </c>
      <c r="AN255" s="323">
        <v>4.4986399760859809E-2</v>
      </c>
      <c r="AO255" s="323">
        <v>2.0521332416843816E-2</v>
      </c>
      <c r="AP255" s="323">
        <v>5.2244435530640093E-2</v>
      </c>
      <c r="AQ255" s="323">
        <v>0.10936594620392942</v>
      </c>
      <c r="AR255" s="323">
        <v>0.10002639976085981</v>
      </c>
      <c r="AS255" s="323">
        <v>8.0168832416843805E-2</v>
      </c>
      <c r="AT255" s="323">
        <v>0.1613002355306401</v>
      </c>
      <c r="AU255" s="190">
        <v>330218694604897.06</v>
      </c>
      <c r="AV255" s="190">
        <v>283737593933318.38</v>
      </c>
      <c r="AW255" s="190">
        <v>1035454895739767.4</v>
      </c>
      <c r="AX255" s="190">
        <v>2636123008316924</v>
      </c>
      <c r="AY255" s="203">
        <v>12.1</v>
      </c>
      <c r="AZ255" s="239">
        <v>267.03000000000003</v>
      </c>
      <c r="BA255" s="203">
        <v>1985</v>
      </c>
      <c r="BB255" s="204">
        <v>39296</v>
      </c>
      <c r="BC255" s="203" t="s">
        <v>741</v>
      </c>
    </row>
    <row r="256" spans="1:55" x14ac:dyDescent="0.2">
      <c r="A256" s="184" t="s">
        <v>1365</v>
      </c>
      <c r="B256" s="184" t="s">
        <v>1364</v>
      </c>
      <c r="C256" s="184" t="s">
        <v>769</v>
      </c>
      <c r="D256" s="185" t="s">
        <v>1043</v>
      </c>
      <c r="E256" s="184" t="s">
        <v>1363</v>
      </c>
      <c r="F256" s="184" t="s">
        <v>1363</v>
      </c>
      <c r="G256" s="186">
        <f>IF(ALECA_Input!$F$13="ICAO (3000ft)",'Aircraft Calc'!C$211,'Aircraft Calc'!G$211)</f>
        <v>0.7</v>
      </c>
      <c r="H256" s="186">
        <f>IF(ALECA_Input!$F$13="ICAO (3000ft)",'Aircraft Calc'!D$211,'Aircraft Calc'!H$211)</f>
        <v>2.2000000000000002</v>
      </c>
      <c r="I256" s="186">
        <f>IF(ALECA_Input!$F$13="ICAO (3000ft)",'Aircraft Calc'!E$211,'Aircraft Calc'!I$211)</f>
        <v>4</v>
      </c>
      <c r="J256" s="189">
        <v>1</v>
      </c>
      <c r="K256" s="187">
        <f t="shared" si="49"/>
        <v>550.35599999999999</v>
      </c>
      <c r="L256" s="187">
        <f t="shared" si="50"/>
        <v>10.89644904</v>
      </c>
      <c r="M256" s="187">
        <f t="shared" si="51"/>
        <v>3.73386E-2</v>
      </c>
      <c r="N256" s="187">
        <f t="shared" si="52"/>
        <v>0.33245891999999999</v>
      </c>
      <c r="O256" s="187">
        <f t="shared" si="53"/>
        <v>4.7505121468387347E-2</v>
      </c>
      <c r="P256" s="188">
        <f t="shared" si="54"/>
        <v>1.318498308244245E+17</v>
      </c>
      <c r="Q256" s="187">
        <f t="shared" si="55"/>
        <v>12180.000000000002</v>
      </c>
      <c r="R256" s="219">
        <f t="shared" si="56"/>
        <v>58.585800000000013</v>
      </c>
      <c r="S256" s="219">
        <f t="shared" si="57"/>
        <v>17.417400000000001</v>
      </c>
      <c r="T256" s="219">
        <f t="shared" si="58"/>
        <v>224.35560000000004</v>
      </c>
      <c r="U256" s="219">
        <f t="shared" si="59"/>
        <v>0.74495924103035593</v>
      </c>
      <c r="V256" s="188">
        <f t="shared" si="60"/>
        <v>2076884876283685</v>
      </c>
      <c r="W256" s="323">
        <v>2.5939999999999999</v>
      </c>
      <c r="X256" s="323">
        <v>2.1040000000000001</v>
      </c>
      <c r="Y256" s="323">
        <v>0.68200000000000005</v>
      </c>
      <c r="Z256" s="323">
        <v>0.20300000000000001</v>
      </c>
      <c r="AA256" s="323">
        <v>27.38</v>
      </c>
      <c r="AB256" s="323">
        <v>21.05</v>
      </c>
      <c r="AC256" s="323">
        <v>12.63</v>
      </c>
      <c r="AD256" s="323">
        <v>4.8100000000000005</v>
      </c>
      <c r="AE256" s="323">
        <v>0.05</v>
      </c>
      <c r="AF256" s="323">
        <v>0.05</v>
      </c>
      <c r="AG256" s="323">
        <v>0.11</v>
      </c>
      <c r="AH256" s="323">
        <v>1.43</v>
      </c>
      <c r="AI256" s="323">
        <v>0.05</v>
      </c>
      <c r="AJ256" s="323">
        <v>0.04</v>
      </c>
      <c r="AK256" s="323">
        <v>1.93</v>
      </c>
      <c r="AL256" s="323">
        <v>18.420000000000002</v>
      </c>
      <c r="AM256" s="323">
        <v>4.704866652104861E-2</v>
      </c>
      <c r="AN256" s="323">
        <v>4.4306005421158375E-2</v>
      </c>
      <c r="AO256" s="323">
        <v>2.6529075919150928E-3</v>
      </c>
      <c r="AP256" s="323">
        <v>3.3793992635760151E-3</v>
      </c>
      <c r="AQ256" s="323">
        <v>0.1017586665210486</v>
      </c>
      <c r="AR256" s="323">
        <v>9.7066005421158383E-2</v>
      </c>
      <c r="AS256" s="323">
        <v>5.7800407591915098E-2</v>
      </c>
      <c r="AT256" s="323">
        <v>6.1162499263576017E-2</v>
      </c>
      <c r="AU256" s="190">
        <v>296744694116821.63</v>
      </c>
      <c r="AV256" s="190">
        <v>279446220231511.31</v>
      </c>
      <c r="AW256" s="190">
        <v>133859054480253.08</v>
      </c>
      <c r="AX256" s="190">
        <v>170515999694883.81</v>
      </c>
      <c r="AY256" s="203">
        <v>12.4</v>
      </c>
      <c r="AZ256" s="239">
        <v>267.03000000000003</v>
      </c>
      <c r="BA256" s="203">
        <v>1995</v>
      </c>
      <c r="BB256" s="204">
        <v>39296</v>
      </c>
      <c r="BC256" s="203" t="s">
        <v>3094</v>
      </c>
    </row>
    <row r="257" spans="1:55" x14ac:dyDescent="0.2">
      <c r="A257" s="184" t="s">
        <v>1367</v>
      </c>
      <c r="B257" s="184" t="s">
        <v>1366</v>
      </c>
      <c r="C257" s="184" t="s">
        <v>769</v>
      </c>
      <c r="D257" s="185" t="s">
        <v>1043</v>
      </c>
      <c r="E257" s="184" t="s">
        <v>1368</v>
      </c>
      <c r="F257" s="184" t="s">
        <v>1368</v>
      </c>
      <c r="G257" s="186">
        <f>IF(ALECA_Input!$F$13="ICAO (3000ft)",'Aircraft Calc'!C$211,'Aircraft Calc'!G$211)</f>
        <v>0.7</v>
      </c>
      <c r="H257" s="186">
        <f>IF(ALECA_Input!$F$13="ICAO (3000ft)",'Aircraft Calc'!D$211,'Aircraft Calc'!H$211)</f>
        <v>2.2000000000000002</v>
      </c>
      <c r="I257" s="186">
        <f>IF(ALECA_Input!$F$13="ICAO (3000ft)",'Aircraft Calc'!E$211,'Aircraft Calc'!I$211)</f>
        <v>4</v>
      </c>
      <c r="J257" s="189">
        <v>1</v>
      </c>
      <c r="K257" s="187">
        <f t="shared" si="49"/>
        <v>553.97400000000005</v>
      </c>
      <c r="L257" s="187">
        <f t="shared" si="50"/>
        <v>10.855002000000001</v>
      </c>
      <c r="M257" s="187">
        <f t="shared" si="51"/>
        <v>3.7605899999999998E-2</v>
      </c>
      <c r="N257" s="187">
        <f t="shared" si="52"/>
        <v>0.34193465999999995</v>
      </c>
      <c r="O257" s="187">
        <f t="shared" si="53"/>
        <v>4.7740708976630609E-2</v>
      </c>
      <c r="P257" s="188">
        <f t="shared" si="54"/>
        <v>1.3227306973184982E+17</v>
      </c>
      <c r="Q257" s="187">
        <f t="shared" si="55"/>
        <v>12300</v>
      </c>
      <c r="R257" s="219">
        <f t="shared" si="56"/>
        <v>59.409000000000006</v>
      </c>
      <c r="S257" s="219">
        <f t="shared" si="57"/>
        <v>17.343</v>
      </c>
      <c r="T257" s="219">
        <f t="shared" si="58"/>
        <v>224.721</v>
      </c>
      <c r="U257" s="219">
        <f t="shared" si="59"/>
        <v>0.75078092094198512</v>
      </c>
      <c r="V257" s="188">
        <f t="shared" si="60"/>
        <v>2097346796247071</v>
      </c>
      <c r="W257" s="323">
        <v>2.605</v>
      </c>
      <c r="X257" s="323">
        <v>2.117</v>
      </c>
      <c r="Y257" s="323">
        <v>0.68799999999999994</v>
      </c>
      <c r="Z257" s="323">
        <v>0.20500000000000002</v>
      </c>
      <c r="AA257" s="323">
        <v>26.900000000000002</v>
      </c>
      <c r="AB257" s="323">
        <v>20.85</v>
      </c>
      <c r="AC257" s="323">
        <v>12.63</v>
      </c>
      <c r="AD257" s="323">
        <v>4.83</v>
      </c>
      <c r="AE257" s="323">
        <v>0.05</v>
      </c>
      <c r="AF257" s="323">
        <v>0.05</v>
      </c>
      <c r="AG257" s="323">
        <v>0.11</v>
      </c>
      <c r="AH257" s="323">
        <v>1.41</v>
      </c>
      <c r="AI257" s="323">
        <v>0.05</v>
      </c>
      <c r="AJ257" s="323">
        <v>0.04</v>
      </c>
      <c r="AK257" s="323">
        <v>1.97</v>
      </c>
      <c r="AL257" s="323">
        <v>18.27</v>
      </c>
      <c r="AM257" s="323">
        <v>4.8293237002895777E-2</v>
      </c>
      <c r="AN257" s="323">
        <v>4.3599633824905018E-2</v>
      </c>
      <c r="AO257" s="323">
        <v>2.6529075919150928E-3</v>
      </c>
      <c r="AP257" s="323">
        <v>3.3793992635760151E-3</v>
      </c>
      <c r="AQ257" s="323">
        <v>0.10300323700289579</v>
      </c>
      <c r="AR257" s="323">
        <v>9.6359633824905006E-2</v>
      </c>
      <c r="AS257" s="323">
        <v>5.7800407591915098E-2</v>
      </c>
      <c r="AT257" s="323">
        <v>6.1039099263576022E-2</v>
      </c>
      <c r="AU257" s="190">
        <v>304594431723674.63</v>
      </c>
      <c r="AV257" s="190">
        <v>274991003139030.34</v>
      </c>
      <c r="AW257" s="190">
        <v>133859054480253.08</v>
      </c>
      <c r="AX257" s="190">
        <v>170515999694883.81</v>
      </c>
      <c r="AY257" s="203">
        <v>12.4</v>
      </c>
      <c r="AZ257" s="239">
        <v>267.02</v>
      </c>
      <c r="BA257" s="203">
        <v>1995</v>
      </c>
      <c r="BB257" s="204">
        <v>39296</v>
      </c>
      <c r="BC257" s="203" t="s">
        <v>3095</v>
      </c>
    </row>
    <row r="258" spans="1:55" x14ac:dyDescent="0.2">
      <c r="A258" s="184" t="s">
        <v>1370</v>
      </c>
      <c r="B258" s="184" t="s">
        <v>1369</v>
      </c>
      <c r="C258" s="184" t="s">
        <v>769</v>
      </c>
      <c r="D258" s="185" t="s">
        <v>1043</v>
      </c>
      <c r="E258" s="184" t="s">
        <v>1371</v>
      </c>
      <c r="F258" s="184" t="s">
        <v>1371</v>
      </c>
      <c r="G258" s="186">
        <f>IF(ALECA_Input!$F$13="ICAO (3000ft)",'Aircraft Calc'!C$211,'Aircraft Calc'!G$211)</f>
        <v>0.7</v>
      </c>
      <c r="H258" s="186">
        <f>IF(ALECA_Input!$F$13="ICAO (3000ft)",'Aircraft Calc'!D$211,'Aircraft Calc'!H$211)</f>
        <v>2.2000000000000002</v>
      </c>
      <c r="I258" s="186">
        <f>IF(ALECA_Input!$F$13="ICAO (3000ft)",'Aircraft Calc'!E$211,'Aircraft Calc'!I$211)</f>
        <v>4</v>
      </c>
      <c r="J258" s="189">
        <v>1</v>
      </c>
      <c r="K258" s="187">
        <f t="shared" si="49"/>
        <v>556.16999999999996</v>
      </c>
      <c r="L258" s="187">
        <f t="shared" si="50"/>
        <v>11.172834959999999</v>
      </c>
      <c r="M258" s="187">
        <f t="shared" si="51"/>
        <v>3.6611520000000002E-2</v>
      </c>
      <c r="N258" s="187">
        <f t="shared" si="52"/>
        <v>0.33047417999999995</v>
      </c>
      <c r="O258" s="187">
        <f t="shared" si="53"/>
        <v>4.8314095539112138E-2</v>
      </c>
      <c r="P258" s="188">
        <f t="shared" si="54"/>
        <v>1.3594726233603645E+17</v>
      </c>
      <c r="Q258" s="187">
        <f t="shared" si="55"/>
        <v>12300</v>
      </c>
      <c r="R258" s="219">
        <f t="shared" si="56"/>
        <v>59.655000000000008</v>
      </c>
      <c r="S258" s="219">
        <f t="shared" si="57"/>
        <v>16.974000000000004</v>
      </c>
      <c r="T258" s="219">
        <f t="shared" si="58"/>
        <v>221.64600000000002</v>
      </c>
      <c r="U258" s="219">
        <f t="shared" si="59"/>
        <v>0.74850419094198506</v>
      </c>
      <c r="V258" s="188">
        <f t="shared" si="60"/>
        <v>2097346796247071</v>
      </c>
      <c r="W258" s="323">
        <v>2.629</v>
      </c>
      <c r="X258" s="323">
        <v>2.1259999999999999</v>
      </c>
      <c r="Y258" s="323">
        <v>0.68799999999999994</v>
      </c>
      <c r="Z258" s="323">
        <v>0.20500000000000002</v>
      </c>
      <c r="AA258" s="323">
        <v>28.12</v>
      </c>
      <c r="AB258" s="323">
        <v>21.3</v>
      </c>
      <c r="AC258" s="323">
        <v>12.66</v>
      </c>
      <c r="AD258" s="323">
        <v>4.8500000000000005</v>
      </c>
      <c r="AE258" s="323">
        <v>0.04</v>
      </c>
      <c r="AF258" s="323">
        <v>0.05</v>
      </c>
      <c r="AG258" s="323">
        <v>0.11</v>
      </c>
      <c r="AH258" s="323">
        <v>1.3800000000000001</v>
      </c>
      <c r="AI258" s="323">
        <v>0.05</v>
      </c>
      <c r="AJ258" s="323">
        <v>0.04</v>
      </c>
      <c r="AK258" s="323">
        <v>1.9000000000000001</v>
      </c>
      <c r="AL258" s="323">
        <v>18.02</v>
      </c>
      <c r="AM258" s="323">
        <v>4.7466696588023799E-2</v>
      </c>
      <c r="AN258" s="323">
        <v>4.5642628544423657E-2</v>
      </c>
      <c r="AO258" s="323">
        <v>2.6529075919150928E-3</v>
      </c>
      <c r="AP258" s="323">
        <v>3.3793992635760151E-3</v>
      </c>
      <c r="AQ258" s="323">
        <v>0.10102669658802381</v>
      </c>
      <c r="AR258" s="323">
        <v>9.8402628544423665E-2</v>
      </c>
      <c r="AS258" s="323">
        <v>5.7800407591915098E-2</v>
      </c>
      <c r="AT258" s="323">
        <v>6.0853999263576014E-2</v>
      </c>
      <c r="AU258" s="190">
        <v>299381287532294.75</v>
      </c>
      <c r="AV258" s="190">
        <v>287876550976068.75</v>
      </c>
      <c r="AW258" s="190">
        <v>133859054480253.08</v>
      </c>
      <c r="AX258" s="190">
        <v>170515999694883.81</v>
      </c>
      <c r="AY258" s="203">
        <v>12.7</v>
      </c>
      <c r="AZ258" s="239">
        <v>269.95999999999998</v>
      </c>
      <c r="BA258" s="203">
        <v>1995</v>
      </c>
      <c r="BB258" s="204">
        <v>39296</v>
      </c>
      <c r="BC258" s="203" t="s">
        <v>3096</v>
      </c>
    </row>
    <row r="259" spans="1:55" x14ac:dyDescent="0.2">
      <c r="A259" s="184" t="s">
        <v>1373</v>
      </c>
      <c r="B259" s="184" t="s">
        <v>1372</v>
      </c>
      <c r="C259" s="184" t="s">
        <v>769</v>
      </c>
      <c r="D259" s="185" t="s">
        <v>1043</v>
      </c>
      <c r="E259" s="184" t="s">
        <v>1374</v>
      </c>
      <c r="F259" s="184" t="s">
        <v>1374</v>
      </c>
      <c r="G259" s="186">
        <f>IF(ALECA_Input!$F$13="ICAO (3000ft)",'Aircraft Calc'!C$211,'Aircraft Calc'!G$211)</f>
        <v>0.7</v>
      </c>
      <c r="H259" s="186">
        <f>IF(ALECA_Input!$F$13="ICAO (3000ft)",'Aircraft Calc'!D$211,'Aircraft Calc'!H$211)</f>
        <v>2.2000000000000002</v>
      </c>
      <c r="I259" s="186">
        <f>IF(ALECA_Input!$F$13="ICAO (3000ft)",'Aircraft Calc'!E$211,'Aircraft Calc'!I$211)</f>
        <v>4</v>
      </c>
      <c r="J259" s="189">
        <v>1</v>
      </c>
      <c r="K259" s="187">
        <f t="shared" si="49"/>
        <v>575.11199999999997</v>
      </c>
      <c r="L259" s="187">
        <f t="shared" si="50"/>
        <v>11.51521908</v>
      </c>
      <c r="M259" s="187">
        <f t="shared" si="51"/>
        <v>3.6134519999999996E-2</v>
      </c>
      <c r="N259" s="187">
        <f t="shared" si="52"/>
        <v>0.34629611999999999</v>
      </c>
      <c r="O259" s="187">
        <f t="shared" si="53"/>
        <v>5.0974144934032663E-2</v>
      </c>
      <c r="P259" s="188">
        <f t="shared" si="54"/>
        <v>1.476111084773063E+17</v>
      </c>
      <c r="Q259" s="187">
        <f t="shared" si="55"/>
        <v>13560</v>
      </c>
      <c r="R259" s="219">
        <f t="shared" si="56"/>
        <v>66.037199999999999</v>
      </c>
      <c r="S259" s="219">
        <f t="shared" si="57"/>
        <v>17.628</v>
      </c>
      <c r="T259" s="219">
        <f t="shared" si="58"/>
        <v>239.19840000000002</v>
      </c>
      <c r="U259" s="219">
        <f t="shared" si="59"/>
        <v>0.81848701401409085</v>
      </c>
      <c r="V259" s="188">
        <f t="shared" si="60"/>
        <v>2312196955862624.5</v>
      </c>
      <c r="W259" s="323">
        <v>2.702</v>
      </c>
      <c r="X259" s="323">
        <v>2.1989999999999998</v>
      </c>
      <c r="Y259" s="323">
        <v>0.71399999999999997</v>
      </c>
      <c r="Z259" s="323">
        <v>0.22600000000000001</v>
      </c>
      <c r="AA259" s="323">
        <v>27.59</v>
      </c>
      <c r="AB259" s="323">
        <v>21.44</v>
      </c>
      <c r="AC259" s="323">
        <v>12.61</v>
      </c>
      <c r="AD259" s="323">
        <v>4.87</v>
      </c>
      <c r="AE259" s="323">
        <v>0.05</v>
      </c>
      <c r="AF259" s="323">
        <v>0.04</v>
      </c>
      <c r="AG259" s="323">
        <v>0.11</v>
      </c>
      <c r="AH259" s="323">
        <v>1.3</v>
      </c>
      <c r="AI259" s="323">
        <v>0.05</v>
      </c>
      <c r="AJ259" s="323">
        <v>0.04</v>
      </c>
      <c r="AK259" s="323">
        <v>1.92</v>
      </c>
      <c r="AL259" s="323">
        <v>17.64</v>
      </c>
      <c r="AM259" s="323">
        <v>4.704866652104861E-2</v>
      </c>
      <c r="AN259" s="323">
        <v>4.9704240831257386E-2</v>
      </c>
      <c r="AO259" s="323">
        <v>2.6529075919150928E-3</v>
      </c>
      <c r="AP259" s="323">
        <v>3.3793992635760151E-3</v>
      </c>
      <c r="AQ259" s="323">
        <v>0.1017586665210486</v>
      </c>
      <c r="AR259" s="323">
        <v>0.10170424083125738</v>
      </c>
      <c r="AS259" s="323">
        <v>5.7800407591915098E-2</v>
      </c>
      <c r="AT259" s="323">
        <v>6.0360399263576017E-2</v>
      </c>
      <c r="AU259" s="190">
        <v>296744694116821.63</v>
      </c>
      <c r="AV259" s="190">
        <v>313493895415329.13</v>
      </c>
      <c r="AW259" s="190">
        <v>133859054480253.08</v>
      </c>
      <c r="AX259" s="190">
        <v>170515999694883.81</v>
      </c>
      <c r="AY259" s="203">
        <v>13.2</v>
      </c>
      <c r="AZ259" s="239">
        <v>281.53000000000003</v>
      </c>
      <c r="BA259" s="203">
        <v>1995</v>
      </c>
      <c r="BB259" s="204">
        <v>39296</v>
      </c>
      <c r="BC259" s="203" t="s">
        <v>3096</v>
      </c>
    </row>
    <row r="260" spans="1:55" x14ac:dyDescent="0.2">
      <c r="A260" s="184" t="s">
        <v>1376</v>
      </c>
      <c r="B260" s="184" t="s">
        <v>1375</v>
      </c>
      <c r="C260" s="184" t="s">
        <v>769</v>
      </c>
      <c r="D260" s="185" t="s">
        <v>1043</v>
      </c>
      <c r="E260" s="184" t="s">
        <v>1377</v>
      </c>
      <c r="F260" s="184" t="s">
        <v>1377</v>
      </c>
      <c r="G260" s="186">
        <f>IF(ALECA_Input!$F$13="ICAO (3000ft)",'Aircraft Calc'!C$211,'Aircraft Calc'!G$211)</f>
        <v>0.7</v>
      </c>
      <c r="H260" s="186">
        <f>IF(ALECA_Input!$F$13="ICAO (3000ft)",'Aircraft Calc'!D$211,'Aircraft Calc'!H$211)</f>
        <v>2.2000000000000002</v>
      </c>
      <c r="I260" s="186">
        <f>IF(ALECA_Input!$F$13="ICAO (3000ft)",'Aircraft Calc'!E$211,'Aircraft Calc'!I$211)</f>
        <v>4</v>
      </c>
      <c r="J260" s="189">
        <v>1</v>
      </c>
      <c r="K260" s="187">
        <f t="shared" si="49"/>
        <v>586.31400000000008</v>
      </c>
      <c r="L260" s="187">
        <f t="shared" si="50"/>
        <v>12.059911080000001</v>
      </c>
      <c r="M260" s="187">
        <f t="shared" si="51"/>
        <v>3.5615760000000003E-2</v>
      </c>
      <c r="N260" s="187">
        <f t="shared" si="52"/>
        <v>0.33912030000000004</v>
      </c>
      <c r="O260" s="187">
        <f t="shared" si="53"/>
        <v>5.22816562593518E-2</v>
      </c>
      <c r="P260" s="188">
        <f t="shared" si="54"/>
        <v>1.5321359247698678E+17</v>
      </c>
      <c r="Q260" s="187">
        <f t="shared" si="55"/>
        <v>13680</v>
      </c>
      <c r="R260" s="219">
        <f t="shared" si="56"/>
        <v>66.758399999999995</v>
      </c>
      <c r="S260" s="219">
        <f t="shared" si="57"/>
        <v>17.100000000000001</v>
      </c>
      <c r="T260" s="219">
        <f t="shared" si="58"/>
        <v>237.6216</v>
      </c>
      <c r="U260" s="219">
        <f t="shared" si="59"/>
        <v>0.82150998192572</v>
      </c>
      <c r="V260" s="188">
        <f t="shared" si="60"/>
        <v>2332658875826010.5</v>
      </c>
      <c r="W260" s="323">
        <v>2.7669999999999999</v>
      </c>
      <c r="X260" s="323">
        <v>2.2450000000000001</v>
      </c>
      <c r="Y260" s="323">
        <v>0.72399999999999998</v>
      </c>
      <c r="Z260" s="323">
        <v>0.22800000000000001</v>
      </c>
      <c r="AA260" s="323">
        <v>28.72</v>
      </c>
      <c r="AB260" s="323">
        <v>22.01</v>
      </c>
      <c r="AC260" s="323">
        <v>12.66</v>
      </c>
      <c r="AD260" s="323">
        <v>4.88</v>
      </c>
      <c r="AE260" s="323">
        <v>0.04</v>
      </c>
      <c r="AF260" s="323">
        <v>0.04</v>
      </c>
      <c r="AG260" s="323">
        <v>0.11</v>
      </c>
      <c r="AH260" s="323">
        <v>1.25</v>
      </c>
      <c r="AI260" s="323">
        <v>0.05</v>
      </c>
      <c r="AJ260" s="323">
        <v>0.04</v>
      </c>
      <c r="AK260" s="323">
        <v>1.85</v>
      </c>
      <c r="AL260" s="323">
        <v>17.37</v>
      </c>
      <c r="AM260" s="323">
        <v>4.6626640501972696E-2</v>
      </c>
      <c r="AN260" s="323">
        <v>5.1243460879005109E-2</v>
      </c>
      <c r="AO260" s="323">
        <v>2.6529075919150928E-3</v>
      </c>
      <c r="AP260" s="323">
        <v>3.3793992635760151E-3</v>
      </c>
      <c r="AQ260" s="323">
        <v>0.10018664050197271</v>
      </c>
      <c r="AR260" s="323">
        <v>0.10324346087900511</v>
      </c>
      <c r="AS260" s="323">
        <v>5.7800407591915098E-2</v>
      </c>
      <c r="AT260" s="323">
        <v>6.0051899263576021E-2</v>
      </c>
      <c r="AU260" s="190">
        <v>294082897487920.5</v>
      </c>
      <c r="AV260" s="190">
        <v>323202042659906.94</v>
      </c>
      <c r="AW260" s="190">
        <v>133859054480253.08</v>
      </c>
      <c r="AX260" s="190">
        <v>170515999694883.81</v>
      </c>
      <c r="AY260" s="203">
        <v>13.8</v>
      </c>
      <c r="AZ260" s="239">
        <v>287.04000000000002</v>
      </c>
      <c r="BA260" s="203">
        <v>1995</v>
      </c>
      <c r="BB260" s="204">
        <v>39296</v>
      </c>
      <c r="BC260" s="203" t="s">
        <v>3096</v>
      </c>
    </row>
    <row r="261" spans="1:55" x14ac:dyDescent="0.2">
      <c r="A261" s="184" t="s">
        <v>1379</v>
      </c>
      <c r="B261" s="184" t="s">
        <v>1378</v>
      </c>
      <c r="C261" s="184" t="s">
        <v>769</v>
      </c>
      <c r="D261" s="185" t="s">
        <v>1043</v>
      </c>
      <c r="E261" s="184" t="s">
        <v>1380</v>
      </c>
      <c r="F261" s="184" t="s">
        <v>1380</v>
      </c>
      <c r="G261" s="186">
        <f>IF(ALECA_Input!$F$13="ICAO (3000ft)",'Aircraft Calc'!C$211,'Aircraft Calc'!G$211)</f>
        <v>0.7</v>
      </c>
      <c r="H261" s="186">
        <f>IF(ALECA_Input!$F$13="ICAO (3000ft)",'Aircraft Calc'!D$211,'Aircraft Calc'!H$211)</f>
        <v>2.2000000000000002</v>
      </c>
      <c r="I261" s="186">
        <f>IF(ALECA_Input!$F$13="ICAO (3000ft)",'Aircraft Calc'!E$211,'Aircraft Calc'!I$211)</f>
        <v>4</v>
      </c>
      <c r="J261" s="189">
        <v>1</v>
      </c>
      <c r="K261" s="187">
        <f t="shared" si="49"/>
        <v>609.01199999999994</v>
      </c>
      <c r="L261" s="187">
        <f t="shared" si="50"/>
        <v>13.337442000000001</v>
      </c>
      <c r="M261" s="187">
        <f t="shared" si="51"/>
        <v>3.3288480000000002E-2</v>
      </c>
      <c r="N261" s="187">
        <f t="shared" si="52"/>
        <v>0.26817479999999999</v>
      </c>
      <c r="O261" s="187">
        <f t="shared" si="53"/>
        <v>5.1959156479109668E-2</v>
      </c>
      <c r="P261" s="188">
        <f t="shared" si="54"/>
        <v>1.4541247164865939E+17</v>
      </c>
      <c r="Q261" s="187">
        <f t="shared" si="55"/>
        <v>13620.000000000002</v>
      </c>
      <c r="R261" s="219">
        <f t="shared" si="56"/>
        <v>64.967400000000012</v>
      </c>
      <c r="S261" s="219">
        <f t="shared" si="57"/>
        <v>12.530400000000002</v>
      </c>
      <c r="T261" s="219">
        <f t="shared" si="58"/>
        <v>204.98100000000002</v>
      </c>
      <c r="U261" s="219">
        <f t="shared" si="59"/>
        <v>0.79017518596990544</v>
      </c>
      <c r="V261" s="188">
        <f t="shared" si="60"/>
        <v>2322427915844317.5</v>
      </c>
      <c r="W261" s="323">
        <v>2.9039999999999999</v>
      </c>
      <c r="X261" s="323">
        <v>2.3370000000000002</v>
      </c>
      <c r="Y261" s="323">
        <v>0.74399999999999999</v>
      </c>
      <c r="Z261" s="323">
        <v>0.22700000000000001</v>
      </c>
      <c r="AA261" s="323">
        <v>31.28</v>
      </c>
      <c r="AB261" s="323">
        <v>23.54</v>
      </c>
      <c r="AC261" s="323">
        <v>12.66</v>
      </c>
      <c r="AD261" s="323">
        <v>4.7700000000000005</v>
      </c>
      <c r="AE261" s="323">
        <v>0.04</v>
      </c>
      <c r="AF261" s="323">
        <v>0.04</v>
      </c>
      <c r="AG261" s="323">
        <v>0.09</v>
      </c>
      <c r="AH261" s="323">
        <v>0.92</v>
      </c>
      <c r="AI261" s="323">
        <v>0.04</v>
      </c>
      <c r="AJ261" s="323">
        <v>0.02</v>
      </c>
      <c r="AK261" s="323">
        <v>1.44</v>
      </c>
      <c r="AL261" s="323">
        <v>15.05</v>
      </c>
      <c r="AM261" s="323">
        <v>4.2514438177221177E-2</v>
      </c>
      <c r="AN261" s="323">
        <v>4.5642628544423657E-2</v>
      </c>
      <c r="AO261" s="323">
        <v>2.6529075919150928E-3</v>
      </c>
      <c r="AP261" s="323">
        <v>3.3793992635760151E-3</v>
      </c>
      <c r="AQ261" s="323">
        <v>9.6074438177221194E-2</v>
      </c>
      <c r="AR261" s="323">
        <v>9.7642628544423654E-2</v>
      </c>
      <c r="AS261" s="323">
        <v>5.6675407591915097E-2</v>
      </c>
      <c r="AT261" s="323">
        <v>5.8015799263576015E-2</v>
      </c>
      <c r="AU261" s="190">
        <v>268146472266199.31</v>
      </c>
      <c r="AV261" s="190">
        <v>287876550976068.75</v>
      </c>
      <c r="AW261" s="190">
        <v>133859054480253.08</v>
      </c>
      <c r="AX261" s="190">
        <v>170515999694883.81</v>
      </c>
      <c r="AY261" s="203">
        <v>15</v>
      </c>
      <c r="AZ261" s="239">
        <v>297.44</v>
      </c>
      <c r="BA261" s="203">
        <v>1996</v>
      </c>
      <c r="BB261" s="204">
        <v>39296</v>
      </c>
      <c r="BC261" s="203" t="s">
        <v>3097</v>
      </c>
    </row>
    <row r="262" spans="1:55" x14ac:dyDescent="0.2">
      <c r="A262" s="184" t="s">
        <v>1382</v>
      </c>
      <c r="B262" s="184" t="s">
        <v>1381</v>
      </c>
      <c r="C262" s="184" t="s">
        <v>769</v>
      </c>
      <c r="D262" s="185" t="s">
        <v>1043</v>
      </c>
      <c r="E262" s="184" t="s">
        <v>1383</v>
      </c>
      <c r="F262" s="184" t="s">
        <v>1383</v>
      </c>
      <c r="G262" s="186">
        <f>IF(ALECA_Input!$F$13="ICAO (3000ft)",'Aircraft Calc'!C$211,'Aircraft Calc'!G$211)</f>
        <v>0.7</v>
      </c>
      <c r="H262" s="186">
        <f>IF(ALECA_Input!$F$13="ICAO (3000ft)",'Aircraft Calc'!D$211,'Aircraft Calc'!H$211)</f>
        <v>2.2000000000000002</v>
      </c>
      <c r="I262" s="186">
        <f>IF(ALECA_Input!$F$13="ICAO (3000ft)",'Aircraft Calc'!E$211,'Aircraft Calc'!I$211)</f>
        <v>4</v>
      </c>
      <c r="J262" s="189">
        <v>1</v>
      </c>
      <c r="K262" s="187">
        <f t="shared" si="49"/>
        <v>613.62</v>
      </c>
      <c r="L262" s="187">
        <f t="shared" si="50"/>
        <v>18.590304</v>
      </c>
      <c r="M262" s="187">
        <f t="shared" si="51"/>
        <v>0.15219780000000002</v>
      </c>
      <c r="N262" s="187">
        <f t="shared" si="52"/>
        <v>1.1364402</v>
      </c>
      <c r="O262" s="187">
        <f t="shared" si="53"/>
        <v>5.320880476183127E-2</v>
      </c>
      <c r="P262" s="188">
        <f t="shared" si="54"/>
        <v>3.434899399203465E+17</v>
      </c>
      <c r="Q262" s="187">
        <f t="shared" si="55"/>
        <v>18000</v>
      </c>
      <c r="R262" s="219">
        <f t="shared" si="56"/>
        <v>105.84</v>
      </c>
      <c r="S262" s="219">
        <f t="shared" si="57"/>
        <v>61.56</v>
      </c>
      <c r="T262" s="219">
        <f t="shared" si="58"/>
        <v>726.30000000000007</v>
      </c>
      <c r="U262" s="219">
        <f t="shared" si="59"/>
        <v>3.7555181989337973</v>
      </c>
      <c r="V262" s="188">
        <f t="shared" si="60"/>
        <v>1.2586181536745254E+17</v>
      </c>
      <c r="W262" s="323">
        <v>2.83</v>
      </c>
      <c r="X262" s="323">
        <v>2.33</v>
      </c>
      <c r="Y262" s="323">
        <v>0.78</v>
      </c>
      <c r="Z262" s="323">
        <v>0.3</v>
      </c>
      <c r="AA262" s="323">
        <v>44.86</v>
      </c>
      <c r="AB262" s="323">
        <v>35.39</v>
      </c>
      <c r="AC262" s="323">
        <v>12.68</v>
      </c>
      <c r="AD262" s="323">
        <v>5.88</v>
      </c>
      <c r="AE262" s="323">
        <v>7.0000000000000007E-2</v>
      </c>
      <c r="AF262" s="323">
        <v>0.06</v>
      </c>
      <c r="AG262" s="323">
        <v>0.67</v>
      </c>
      <c r="AH262" s="323">
        <v>3.42</v>
      </c>
      <c r="AI262" s="323">
        <v>0.09</v>
      </c>
      <c r="AJ262" s="323">
        <v>0.13</v>
      </c>
      <c r="AK262" s="323">
        <v>5.8</v>
      </c>
      <c r="AL262" s="323">
        <v>40.35</v>
      </c>
      <c r="AM262" s="323">
        <v>1.7010239576834309E-2</v>
      </c>
      <c r="AN262" s="323">
        <v>1.9229526024833313E-2</v>
      </c>
      <c r="AO262" s="323">
        <v>3.1065720414161342E-2</v>
      </c>
      <c r="AP262" s="323">
        <v>0.13857849994076651</v>
      </c>
      <c r="AQ262" s="323">
        <v>7.4020239576834318E-2</v>
      </c>
      <c r="AR262" s="323">
        <v>7.2749526024833311E-2</v>
      </c>
      <c r="AS262" s="323">
        <v>0.11771322041416135</v>
      </c>
      <c r="AT262" s="323">
        <v>0.20863989994076651</v>
      </c>
      <c r="AU262" s="190">
        <v>107286746114755.73</v>
      </c>
      <c r="AV262" s="190">
        <v>121284198686008.64</v>
      </c>
      <c r="AW262" s="190">
        <v>1567498232528193.3</v>
      </c>
      <c r="AX262" s="190">
        <v>6992323075969586</v>
      </c>
      <c r="AY262" s="203">
        <v>21.3</v>
      </c>
      <c r="AZ262" s="239">
        <v>360.62</v>
      </c>
      <c r="BA262" s="203">
        <v>1995</v>
      </c>
      <c r="BB262" s="204">
        <v>39296</v>
      </c>
      <c r="BC262" s="203" t="s">
        <v>1384</v>
      </c>
    </row>
    <row r="263" spans="1:55" x14ac:dyDescent="0.2">
      <c r="A263" s="184" t="s">
        <v>1386</v>
      </c>
      <c r="B263" s="184" t="s">
        <v>1385</v>
      </c>
      <c r="C263" s="184" t="s">
        <v>769</v>
      </c>
      <c r="D263" s="185" t="s">
        <v>1043</v>
      </c>
      <c r="E263" s="184" t="s">
        <v>1383</v>
      </c>
      <c r="F263" s="184" t="s">
        <v>1383</v>
      </c>
      <c r="G263" s="186">
        <f>IF(ALECA_Input!$F$13="ICAO (3000ft)",'Aircraft Calc'!C$211,'Aircraft Calc'!G$211)</f>
        <v>0.7</v>
      </c>
      <c r="H263" s="186">
        <f>IF(ALECA_Input!$F$13="ICAO (3000ft)",'Aircraft Calc'!D$211,'Aircraft Calc'!H$211)</f>
        <v>2.2000000000000002</v>
      </c>
      <c r="I263" s="186">
        <f>IF(ALECA_Input!$F$13="ICAO (3000ft)",'Aircraft Calc'!E$211,'Aircraft Calc'!I$211)</f>
        <v>4</v>
      </c>
      <c r="J263" s="189">
        <v>1</v>
      </c>
      <c r="K263" s="187">
        <f t="shared" si="49"/>
        <v>611.09999999999991</v>
      </c>
      <c r="L263" s="187">
        <f t="shared" si="50"/>
        <v>17.308651559999998</v>
      </c>
      <c r="M263" s="187">
        <f t="shared" si="51"/>
        <v>3.0067199999999999E-2</v>
      </c>
      <c r="N263" s="187">
        <f t="shared" si="52"/>
        <v>0.31707084000000002</v>
      </c>
      <c r="O263" s="187">
        <f t="shared" si="53"/>
        <v>3.32418213393939E-2</v>
      </c>
      <c r="P263" s="188">
        <f t="shared" si="54"/>
        <v>2.7854845725957056E+16</v>
      </c>
      <c r="Q263" s="187">
        <f t="shared" si="55"/>
        <v>16800</v>
      </c>
      <c r="R263" s="219">
        <f t="shared" si="56"/>
        <v>91.224000000000004</v>
      </c>
      <c r="S263" s="219">
        <f t="shared" si="57"/>
        <v>9.5760000000000023</v>
      </c>
      <c r="T263" s="219">
        <f t="shared" si="58"/>
        <v>258.88800000000003</v>
      </c>
      <c r="U263" s="219">
        <f t="shared" si="59"/>
        <v>0.97108496479243023</v>
      </c>
      <c r="V263" s="188">
        <f t="shared" si="60"/>
        <v>4514585134395190</v>
      </c>
      <c r="W263" s="323">
        <v>2.8239999999999998</v>
      </c>
      <c r="X263" s="323">
        <v>2.3109999999999999</v>
      </c>
      <c r="Y263" s="323">
        <v>0.78100000000000003</v>
      </c>
      <c r="Z263" s="323">
        <v>0.28000000000000003</v>
      </c>
      <c r="AA263" s="323">
        <v>40.11</v>
      </c>
      <c r="AB263" s="323">
        <v>31.59</v>
      </c>
      <c r="AC263" s="323">
        <v>15.55</v>
      </c>
      <c r="AD263" s="323">
        <v>5.43</v>
      </c>
      <c r="AE263" s="323">
        <v>0.04</v>
      </c>
      <c r="AF263" s="323">
        <v>0.04</v>
      </c>
      <c r="AG263" s="323">
        <v>7.0000000000000007E-2</v>
      </c>
      <c r="AH263" s="323">
        <v>0.57000000000000006</v>
      </c>
      <c r="AI263" s="323">
        <v>0.15</v>
      </c>
      <c r="AJ263" s="323">
        <v>0.17</v>
      </c>
      <c r="AK263" s="323">
        <v>1.32</v>
      </c>
      <c r="AL263" s="323">
        <v>15.41</v>
      </c>
      <c r="AM263" s="323">
        <v>1.3792414342428912E-3</v>
      </c>
      <c r="AN263" s="323">
        <v>1.5591878606120145E-3</v>
      </c>
      <c r="AO263" s="323">
        <v>2.5189021345806712E-3</v>
      </c>
      <c r="AP263" s="323">
        <v>5.3257764757398841E-3</v>
      </c>
      <c r="AQ263" s="323">
        <v>5.4939241434242891E-2</v>
      </c>
      <c r="AR263" s="323">
        <v>5.3559187860612013E-2</v>
      </c>
      <c r="AS263" s="323">
        <v>5.5416402134580676E-2</v>
      </c>
      <c r="AT263" s="323">
        <v>5.7802676475739889E-2</v>
      </c>
      <c r="AU263" s="190">
        <v>8699132361903.3594</v>
      </c>
      <c r="AV263" s="190">
        <v>9834087955733.6621</v>
      </c>
      <c r="AW263" s="190">
        <v>127097475649295.55</v>
      </c>
      <c r="AX263" s="190">
        <v>268725305618761.31</v>
      </c>
      <c r="AY263" s="203">
        <v>19.7</v>
      </c>
      <c r="AZ263" s="239">
        <v>360.62</v>
      </c>
      <c r="BA263" s="203">
        <v>1997</v>
      </c>
      <c r="BB263" s="204">
        <v>39849</v>
      </c>
      <c r="BC263" s="203" t="s">
        <v>1387</v>
      </c>
    </row>
    <row r="264" spans="1:55" x14ac:dyDescent="0.2">
      <c r="A264" s="184" t="s">
        <v>1389</v>
      </c>
      <c r="B264" s="184" t="s">
        <v>1388</v>
      </c>
      <c r="C264" s="184" t="s">
        <v>769</v>
      </c>
      <c r="D264" s="185" t="s">
        <v>1043</v>
      </c>
      <c r="E264" s="184" t="s">
        <v>1390</v>
      </c>
      <c r="F264" s="184" t="s">
        <v>1390</v>
      </c>
      <c r="G264" s="186">
        <f>IF(ALECA_Input!$F$13="ICAO (3000ft)",'Aircraft Calc'!C$211,'Aircraft Calc'!G$211)</f>
        <v>0.7</v>
      </c>
      <c r="H264" s="186">
        <f>IF(ALECA_Input!$F$13="ICAO (3000ft)",'Aircraft Calc'!D$211,'Aircraft Calc'!H$211)</f>
        <v>2.2000000000000002</v>
      </c>
      <c r="I264" s="186">
        <f>IF(ALECA_Input!$F$13="ICAO (3000ft)",'Aircraft Calc'!E$211,'Aircraft Calc'!I$211)</f>
        <v>4</v>
      </c>
      <c r="J264" s="189">
        <v>1</v>
      </c>
      <c r="K264" s="187">
        <f t="shared" si="49"/>
        <v>611.28600000000006</v>
      </c>
      <c r="L264" s="187">
        <f t="shared" si="50"/>
        <v>18.671004180000001</v>
      </c>
      <c r="M264" s="187">
        <f t="shared" si="51"/>
        <v>0.17533109999999999</v>
      </c>
      <c r="N264" s="187">
        <f t="shared" si="52"/>
        <v>1.2375586199999999</v>
      </c>
      <c r="O264" s="187">
        <f t="shared" si="53"/>
        <v>4.1753953477606916E-2</v>
      </c>
      <c r="P264" s="188">
        <f t="shared" si="54"/>
        <v>2.7659052689237408E+16</v>
      </c>
      <c r="Q264" s="187">
        <f t="shared" si="55"/>
        <v>17700</v>
      </c>
      <c r="R264" s="219">
        <f t="shared" si="56"/>
        <v>101.42100000000001</v>
      </c>
      <c r="S264" s="219">
        <f t="shared" si="57"/>
        <v>67.790999999999997</v>
      </c>
      <c r="T264" s="219">
        <f t="shared" si="58"/>
        <v>766.76400000000001</v>
      </c>
      <c r="U264" s="219">
        <f t="shared" si="59"/>
        <v>3.7266985852177537</v>
      </c>
      <c r="V264" s="188">
        <f t="shared" si="60"/>
        <v>1.2320891785862254E+17</v>
      </c>
      <c r="W264" s="323">
        <v>2.8370000000000002</v>
      </c>
      <c r="X264" s="323">
        <v>2.3210000000000002</v>
      </c>
      <c r="Y264" s="323">
        <v>0.77400000000000002</v>
      </c>
      <c r="Z264" s="323">
        <v>0.29499999999999998</v>
      </c>
      <c r="AA264" s="323">
        <v>45.53</v>
      </c>
      <c r="AB264" s="323">
        <v>35.68</v>
      </c>
      <c r="AC264" s="323">
        <v>12.46</v>
      </c>
      <c r="AD264" s="323">
        <v>5.73</v>
      </c>
      <c r="AE264" s="323">
        <v>7.0000000000000007E-2</v>
      </c>
      <c r="AF264" s="323">
        <v>0.06</v>
      </c>
      <c r="AG264" s="323">
        <v>0.8</v>
      </c>
      <c r="AH264" s="323">
        <v>3.83</v>
      </c>
      <c r="AI264" s="323">
        <v>0.09</v>
      </c>
      <c r="AJ264" s="323">
        <v>0.13</v>
      </c>
      <c r="AK264" s="323">
        <v>6.3900000000000006</v>
      </c>
      <c r="AL264" s="323">
        <v>43.32</v>
      </c>
      <c r="AM264" s="323">
        <v>1.3792414342428912E-3</v>
      </c>
      <c r="AN264" s="323">
        <v>1.5591878606120145E-3</v>
      </c>
      <c r="AO264" s="323">
        <v>2.5189021345806712E-3</v>
      </c>
      <c r="AP264" s="323">
        <v>0.13795684266766972</v>
      </c>
      <c r="AQ264" s="323">
        <v>5.8389241434242893E-2</v>
      </c>
      <c r="AR264" s="323">
        <v>5.5079187860612014E-2</v>
      </c>
      <c r="AS264" s="323">
        <v>9.6478902134580671E-2</v>
      </c>
      <c r="AT264" s="323">
        <v>0.21054794266766971</v>
      </c>
      <c r="AU264" s="190">
        <v>8699132361903.3594</v>
      </c>
      <c r="AV264" s="190">
        <v>9834087955733.6621</v>
      </c>
      <c r="AW264" s="190">
        <v>127097475649295.55</v>
      </c>
      <c r="AX264" s="190">
        <v>6960955811221613</v>
      </c>
      <c r="AY264" s="203">
        <v>21.3</v>
      </c>
      <c r="AZ264" s="239">
        <v>363.42</v>
      </c>
      <c r="BA264" s="203">
        <v>1995</v>
      </c>
      <c r="BB264" s="204">
        <v>39296</v>
      </c>
      <c r="BC264" s="203" t="s">
        <v>1391</v>
      </c>
    </row>
    <row r="265" spans="1:55" x14ac:dyDescent="0.2">
      <c r="A265" s="184" t="s">
        <v>1393</v>
      </c>
      <c r="B265" s="184" t="s">
        <v>1392</v>
      </c>
      <c r="C265" s="184" t="s">
        <v>769</v>
      </c>
      <c r="D265" s="185" t="s">
        <v>1043</v>
      </c>
      <c r="E265" s="184" t="s">
        <v>1390</v>
      </c>
      <c r="F265" s="184" t="s">
        <v>1390</v>
      </c>
      <c r="G265" s="186">
        <f>IF(ALECA_Input!$F$13="ICAO (3000ft)",'Aircraft Calc'!C$211,'Aircraft Calc'!G$211)</f>
        <v>0.7</v>
      </c>
      <c r="H265" s="186">
        <f>IF(ALECA_Input!$F$13="ICAO (3000ft)",'Aircraft Calc'!D$211,'Aircraft Calc'!H$211)</f>
        <v>2.2000000000000002</v>
      </c>
      <c r="I265" s="186">
        <f>IF(ALECA_Input!$F$13="ICAO (3000ft)",'Aircraft Calc'!E$211,'Aircraft Calc'!I$211)</f>
        <v>4</v>
      </c>
      <c r="J265" s="189">
        <v>1</v>
      </c>
      <c r="K265" s="187">
        <f t="shared" si="49"/>
        <v>615.64800000000002</v>
      </c>
      <c r="L265" s="187">
        <f t="shared" si="50"/>
        <v>17.60566416</v>
      </c>
      <c r="M265" s="187">
        <f t="shared" si="51"/>
        <v>3.0292320000000005E-2</v>
      </c>
      <c r="N265" s="187">
        <f t="shared" si="52"/>
        <v>0.31571568</v>
      </c>
      <c r="O265" s="187">
        <f t="shared" si="53"/>
        <v>3.3488546612339222E-2</v>
      </c>
      <c r="P265" s="188">
        <f t="shared" si="54"/>
        <v>2.8068049091178936E+16</v>
      </c>
      <c r="Q265" s="187">
        <f t="shared" si="55"/>
        <v>16860.000000000004</v>
      </c>
      <c r="R265" s="219">
        <f t="shared" si="56"/>
        <v>91.887000000000015</v>
      </c>
      <c r="S265" s="219">
        <f t="shared" si="57"/>
        <v>9.4416000000000029</v>
      </c>
      <c r="T265" s="219">
        <f t="shared" si="58"/>
        <v>257.28360000000004</v>
      </c>
      <c r="U265" s="219">
        <f t="shared" si="59"/>
        <v>0.97351286338097465</v>
      </c>
      <c r="V265" s="188">
        <f t="shared" si="60"/>
        <v>4530708652732317</v>
      </c>
      <c r="W265" s="323">
        <v>2.8319999999999999</v>
      </c>
      <c r="X265" s="323">
        <v>2.3319999999999999</v>
      </c>
      <c r="Y265" s="323">
        <v>0.78700000000000003</v>
      </c>
      <c r="Z265" s="323">
        <v>0.28100000000000003</v>
      </c>
      <c r="AA265" s="323">
        <v>40.65</v>
      </c>
      <c r="AB265" s="323">
        <v>31.89</v>
      </c>
      <c r="AC265" s="323">
        <v>15.64</v>
      </c>
      <c r="AD265" s="323">
        <v>5.45</v>
      </c>
      <c r="AE265" s="323">
        <v>0.04</v>
      </c>
      <c r="AF265" s="323">
        <v>0.04</v>
      </c>
      <c r="AG265" s="323">
        <v>7.0000000000000007E-2</v>
      </c>
      <c r="AH265" s="323">
        <v>0.56000000000000005</v>
      </c>
      <c r="AI265" s="323">
        <v>0.15</v>
      </c>
      <c r="AJ265" s="323">
        <v>0.17</v>
      </c>
      <c r="AK265" s="323">
        <v>1.3</v>
      </c>
      <c r="AL265" s="323">
        <v>15.26</v>
      </c>
      <c r="AM265" s="323">
        <v>1.3792414342428912E-3</v>
      </c>
      <c r="AN265" s="323">
        <v>1.5591878606120145E-3</v>
      </c>
      <c r="AO265" s="323">
        <v>2.5189021345806712E-3</v>
      </c>
      <c r="AP265" s="323">
        <v>5.3257764757398841E-3</v>
      </c>
      <c r="AQ265" s="323">
        <v>5.4939241434242891E-2</v>
      </c>
      <c r="AR265" s="323">
        <v>5.3559187860612013E-2</v>
      </c>
      <c r="AS265" s="323">
        <v>5.5416402134580676E-2</v>
      </c>
      <c r="AT265" s="323">
        <v>5.7740976475739884E-2</v>
      </c>
      <c r="AU265" s="190">
        <v>8699132361903.3594</v>
      </c>
      <c r="AV265" s="190">
        <v>9834087955733.6621</v>
      </c>
      <c r="AW265" s="190">
        <v>127097475649295.55</v>
      </c>
      <c r="AX265" s="190">
        <v>268725305618761.31</v>
      </c>
      <c r="AY265" s="203">
        <v>20</v>
      </c>
      <c r="AZ265" s="239">
        <v>363.42</v>
      </c>
      <c r="BA265" s="203">
        <v>1997</v>
      </c>
      <c r="BB265" s="204">
        <v>39296</v>
      </c>
      <c r="BC265" s="203" t="s">
        <v>1394</v>
      </c>
    </row>
    <row r="266" spans="1:55" x14ac:dyDescent="0.2">
      <c r="A266" s="184" t="s">
        <v>1396</v>
      </c>
      <c r="B266" s="184" t="s">
        <v>1395</v>
      </c>
      <c r="C266" s="184" t="s">
        <v>769</v>
      </c>
      <c r="D266" s="185" t="s">
        <v>1043</v>
      </c>
      <c r="E266" s="184" t="s">
        <v>1397</v>
      </c>
      <c r="F266" s="184" t="s">
        <v>1397</v>
      </c>
      <c r="G266" s="186">
        <f>IF(ALECA_Input!$F$13="ICAO (3000ft)",'Aircraft Calc'!C$211,'Aircraft Calc'!G$211)</f>
        <v>0.7</v>
      </c>
      <c r="H266" s="186">
        <f>IF(ALECA_Input!$F$13="ICAO (3000ft)",'Aircraft Calc'!D$211,'Aircraft Calc'!H$211)</f>
        <v>2.2000000000000002</v>
      </c>
      <c r="I266" s="186">
        <f>IF(ALECA_Input!$F$13="ICAO (3000ft)",'Aircraft Calc'!E$211,'Aircraft Calc'!I$211)</f>
        <v>4</v>
      </c>
      <c r="J266" s="189">
        <v>1</v>
      </c>
      <c r="K266" s="187">
        <f t="shared" si="49"/>
        <v>681.18000000000006</v>
      </c>
      <c r="L266" s="187">
        <f t="shared" si="50"/>
        <v>22.890163800000003</v>
      </c>
      <c r="M266" s="187">
        <f t="shared" si="51"/>
        <v>0.34482240000000003</v>
      </c>
      <c r="N266" s="187">
        <f t="shared" si="52"/>
        <v>5.2233024000000006</v>
      </c>
      <c r="O266" s="187">
        <f t="shared" si="53"/>
        <v>6.9067024994715981E-2</v>
      </c>
      <c r="P266" s="188">
        <f t="shared" si="54"/>
        <v>3.7576865466924454E+17</v>
      </c>
      <c r="Q266" s="187">
        <f t="shared" si="55"/>
        <v>18000</v>
      </c>
      <c r="R266" s="219">
        <f t="shared" si="56"/>
        <v>108.17999999999999</v>
      </c>
      <c r="S266" s="219">
        <f t="shared" si="57"/>
        <v>54.900000000000006</v>
      </c>
      <c r="T266" s="219">
        <f t="shared" si="58"/>
        <v>680.93999999999994</v>
      </c>
      <c r="U266" s="219">
        <f t="shared" si="59"/>
        <v>3.6589257417120802</v>
      </c>
      <c r="V266" s="188">
        <f t="shared" si="60"/>
        <v>1.2306141177339192E+17</v>
      </c>
      <c r="W266" s="323">
        <v>3.19</v>
      </c>
      <c r="X266" s="323">
        <v>2.6</v>
      </c>
      <c r="Y266" s="323">
        <v>0.85</v>
      </c>
      <c r="Z266" s="323">
        <v>0.3</v>
      </c>
      <c r="AA266" s="323">
        <v>52.01</v>
      </c>
      <c r="AB266" s="323">
        <v>40.270000000000003</v>
      </c>
      <c r="AC266" s="323">
        <v>10.3</v>
      </c>
      <c r="AD266" s="323">
        <v>6.01</v>
      </c>
      <c r="AE266" s="323">
        <v>0.08</v>
      </c>
      <c r="AF266" s="323">
        <v>7.0000000000000007E-2</v>
      </c>
      <c r="AG266" s="323">
        <v>1.52</v>
      </c>
      <c r="AH266" s="323">
        <v>3.0500000000000003</v>
      </c>
      <c r="AI266" s="323">
        <v>0.08</v>
      </c>
      <c r="AJ266" s="323">
        <v>0.12</v>
      </c>
      <c r="AK266" s="323">
        <v>25.35</v>
      </c>
      <c r="AL266" s="323">
        <v>37.83</v>
      </c>
      <c r="AM266" s="323">
        <v>1.7010239576834309E-2</v>
      </c>
      <c r="AN266" s="323">
        <v>1.9229526024833313E-2</v>
      </c>
      <c r="AO266" s="323">
        <v>3.1065720414161342E-2</v>
      </c>
      <c r="AP266" s="323">
        <v>0.1354951523173378</v>
      </c>
      <c r="AQ266" s="323">
        <v>7.5170239576834316E-2</v>
      </c>
      <c r="AR266" s="323">
        <v>7.3509526024833322E-2</v>
      </c>
      <c r="AS266" s="323">
        <v>0.16552572041416136</v>
      </c>
      <c r="AT266" s="323">
        <v>0.20327365231733779</v>
      </c>
      <c r="AU266" s="190">
        <v>107286746114755.73</v>
      </c>
      <c r="AV266" s="190">
        <v>121284198686008.64</v>
      </c>
      <c r="AW266" s="190">
        <v>1567498232528193.3</v>
      </c>
      <c r="AX266" s="190">
        <v>6836745098521773</v>
      </c>
      <c r="AY266" s="203">
        <v>25.7</v>
      </c>
      <c r="AZ266" s="239">
        <v>395.31</v>
      </c>
      <c r="BA266" s="203">
        <v>1995</v>
      </c>
      <c r="BB266" s="204">
        <v>39296</v>
      </c>
      <c r="BC266" s="203" t="s">
        <v>1384</v>
      </c>
    </row>
    <row r="267" spans="1:55" x14ac:dyDescent="0.2">
      <c r="A267" s="184" t="s">
        <v>1399</v>
      </c>
      <c r="B267" s="184" t="s">
        <v>1398</v>
      </c>
      <c r="C267" s="184" t="s">
        <v>769</v>
      </c>
      <c r="D267" s="185" t="s">
        <v>1043</v>
      </c>
      <c r="E267" s="184" t="s">
        <v>1390</v>
      </c>
      <c r="F267" s="184" t="s">
        <v>1390</v>
      </c>
      <c r="G267" s="186">
        <f>IF(ALECA_Input!$F$13="ICAO (3000ft)",'Aircraft Calc'!C$211,'Aircraft Calc'!G$211)</f>
        <v>0.7</v>
      </c>
      <c r="H267" s="186">
        <f>IF(ALECA_Input!$F$13="ICAO (3000ft)",'Aircraft Calc'!D$211,'Aircraft Calc'!H$211)</f>
        <v>2.2000000000000002</v>
      </c>
      <c r="I267" s="186">
        <f>IF(ALECA_Input!$F$13="ICAO (3000ft)",'Aircraft Calc'!E$211,'Aircraft Calc'!I$211)</f>
        <v>4</v>
      </c>
      <c r="J267" s="189">
        <v>1</v>
      </c>
      <c r="K267" s="187">
        <f t="shared" si="49"/>
        <v>605.904</v>
      </c>
      <c r="L267" s="187">
        <f t="shared" si="50"/>
        <v>17.367906000000001</v>
      </c>
      <c r="M267" s="187">
        <f t="shared" si="51"/>
        <v>2.4885239999999996E-2</v>
      </c>
      <c r="N267" s="187">
        <f t="shared" si="52"/>
        <v>0.34539803999999996</v>
      </c>
      <c r="O267" s="187">
        <f t="shared" si="53"/>
        <v>4.183869442953176E-2</v>
      </c>
      <c r="P267" s="188">
        <f t="shared" si="54"/>
        <v>3.1787688960878938E+17</v>
      </c>
      <c r="Q267" s="187">
        <f t="shared" si="55"/>
        <v>16140</v>
      </c>
      <c r="R267" s="219">
        <f t="shared" si="56"/>
        <v>91.352400000000003</v>
      </c>
      <c r="S267" s="219">
        <f t="shared" si="57"/>
        <v>8.3928000000000011</v>
      </c>
      <c r="T267" s="219">
        <f t="shared" si="58"/>
        <v>250.49279999999999</v>
      </c>
      <c r="U267" s="219">
        <f t="shared" si="59"/>
        <v>1.3308108470143667</v>
      </c>
      <c r="V267" s="188">
        <f t="shared" si="60"/>
        <v>2.4664269849115512E+16</v>
      </c>
      <c r="W267" s="323">
        <v>2.806</v>
      </c>
      <c r="X267" s="323">
        <v>2.3010000000000002</v>
      </c>
      <c r="Y267" s="323">
        <v>0.76800000000000002</v>
      </c>
      <c r="Z267" s="323">
        <v>0.26900000000000002</v>
      </c>
      <c r="AA267" s="323">
        <v>40.909999999999997</v>
      </c>
      <c r="AB267" s="323">
        <v>32.090000000000003</v>
      </c>
      <c r="AC267" s="323">
        <v>15.19</v>
      </c>
      <c r="AD267" s="323">
        <v>5.66</v>
      </c>
      <c r="AE267" s="323">
        <v>0.04</v>
      </c>
      <c r="AF267" s="323">
        <v>0.03</v>
      </c>
      <c r="AG267" s="323">
        <v>0.06</v>
      </c>
      <c r="AH267" s="323">
        <v>0.52</v>
      </c>
      <c r="AI267" s="323">
        <v>0.12</v>
      </c>
      <c r="AJ267" s="323">
        <v>0.15</v>
      </c>
      <c r="AK267" s="323">
        <v>1.55</v>
      </c>
      <c r="AL267" s="323">
        <v>15.52</v>
      </c>
      <c r="AM267" s="323">
        <v>1.7010239576834309E-2</v>
      </c>
      <c r="AN267" s="323">
        <v>8.5147501355947678E-3</v>
      </c>
      <c r="AO267" s="323">
        <v>3.1065720414161342E-2</v>
      </c>
      <c r="AP267" s="323">
        <v>3.0285803656404396E-2</v>
      </c>
      <c r="AQ267" s="323">
        <v>7.0570239576834309E-2</v>
      </c>
      <c r="AR267" s="323">
        <v>5.975475013559476E-2</v>
      </c>
      <c r="AS267" s="323">
        <v>8.3400720414161328E-2</v>
      </c>
      <c r="AT267" s="323">
        <v>8.2454203656404379E-2</v>
      </c>
      <c r="AU267" s="190">
        <v>107286746114755.73</v>
      </c>
      <c r="AV267" s="190">
        <v>53704113448950.523</v>
      </c>
      <c r="AW267" s="190">
        <v>1567498232528193.3</v>
      </c>
      <c r="AX267" s="190">
        <v>1528145591642844.5</v>
      </c>
      <c r="AY267" s="203">
        <v>19.7</v>
      </c>
      <c r="AZ267" s="239">
        <v>363.4</v>
      </c>
      <c r="BA267" s="203">
        <v>2000</v>
      </c>
      <c r="BB267" s="204">
        <v>39296</v>
      </c>
      <c r="BC267" s="203" t="s">
        <v>1400</v>
      </c>
    </row>
    <row r="268" spans="1:55" x14ac:dyDescent="0.2">
      <c r="A268" s="184" t="s">
        <v>1402</v>
      </c>
      <c r="B268" s="184" t="s">
        <v>1401</v>
      </c>
      <c r="C268" s="184" t="s">
        <v>769</v>
      </c>
      <c r="D268" s="185" t="s">
        <v>1043</v>
      </c>
      <c r="E268" s="184" t="s">
        <v>1403</v>
      </c>
      <c r="F268" s="184" t="s">
        <v>1403</v>
      </c>
      <c r="G268" s="186">
        <f>IF(ALECA_Input!$F$13="ICAO (3000ft)",'Aircraft Calc'!C$211,'Aircraft Calc'!G$211)</f>
        <v>0.7</v>
      </c>
      <c r="H268" s="186">
        <f>IF(ALECA_Input!$F$13="ICAO (3000ft)",'Aircraft Calc'!D$211,'Aircraft Calc'!H$211)</f>
        <v>2.2000000000000002</v>
      </c>
      <c r="I268" s="186">
        <f>IF(ALECA_Input!$F$13="ICAO (3000ft)",'Aircraft Calc'!E$211,'Aircraft Calc'!I$211)</f>
        <v>4</v>
      </c>
      <c r="J268" s="189">
        <v>1</v>
      </c>
      <c r="K268" s="187">
        <f t="shared" si="49"/>
        <v>621.82199999999989</v>
      </c>
      <c r="L268" s="187">
        <f t="shared" si="50"/>
        <v>17.593613099999999</v>
      </c>
      <c r="M268" s="187">
        <f t="shared" si="51"/>
        <v>6.3459540000000009E-2</v>
      </c>
      <c r="N268" s="187">
        <f t="shared" si="52"/>
        <v>0.36323496</v>
      </c>
      <c r="O268" s="187">
        <f t="shared" si="53"/>
        <v>6.2270527862675444E-2</v>
      </c>
      <c r="P268" s="188">
        <f t="shared" si="54"/>
        <v>1.9343882945618374E+17</v>
      </c>
      <c r="Q268" s="187">
        <f t="shared" si="55"/>
        <v>13620.000000000002</v>
      </c>
      <c r="R268" s="219">
        <f t="shared" si="56"/>
        <v>63.877800000000008</v>
      </c>
      <c r="S268" s="219">
        <f t="shared" si="57"/>
        <v>129.79859999999999</v>
      </c>
      <c r="T268" s="219">
        <f t="shared" si="58"/>
        <v>504.21240000000006</v>
      </c>
      <c r="U268" s="219">
        <f t="shared" si="59"/>
        <v>1.5137199799699055</v>
      </c>
      <c r="V268" s="188">
        <f t="shared" si="60"/>
        <v>2322427915844317.5</v>
      </c>
      <c r="W268" s="323">
        <v>2.9889999999999999</v>
      </c>
      <c r="X268" s="323">
        <v>2.387</v>
      </c>
      <c r="Y268" s="323">
        <v>0.755</v>
      </c>
      <c r="Z268" s="323">
        <v>0.22700000000000001</v>
      </c>
      <c r="AA268" s="323">
        <v>45.63</v>
      </c>
      <c r="AB268" s="323">
        <v>31.74</v>
      </c>
      <c r="AC268" s="323">
        <v>10.29</v>
      </c>
      <c r="AD268" s="323">
        <v>4.6900000000000004</v>
      </c>
      <c r="AE268" s="323">
        <v>7.0000000000000007E-2</v>
      </c>
      <c r="AF268" s="323">
        <v>7.0000000000000007E-2</v>
      </c>
      <c r="AG268" s="323">
        <v>0.18</v>
      </c>
      <c r="AH268" s="323">
        <v>9.5299999999999994</v>
      </c>
      <c r="AI268" s="323">
        <v>0.34</v>
      </c>
      <c r="AJ268" s="323">
        <v>0.31</v>
      </c>
      <c r="AK268" s="323">
        <v>1.23</v>
      </c>
      <c r="AL268" s="323">
        <v>37.020000000000003</v>
      </c>
      <c r="AM268" s="323">
        <v>6.0465967009096011E-2</v>
      </c>
      <c r="AN268" s="323">
        <v>6.104137798375206E-2</v>
      </c>
      <c r="AO268" s="323">
        <v>2.6529075919150928E-3</v>
      </c>
      <c r="AP268" s="323">
        <v>3.3793992635760151E-3</v>
      </c>
      <c r="AQ268" s="323">
        <v>0.11747596700909602</v>
      </c>
      <c r="AR268" s="323">
        <v>0.11532137798375205</v>
      </c>
      <c r="AS268" s="323">
        <v>6.1737907591915095E-2</v>
      </c>
      <c r="AT268" s="323">
        <v>0.11113949926357602</v>
      </c>
      <c r="AU268" s="190">
        <v>381370104858651.25</v>
      </c>
      <c r="AV268" s="190">
        <v>384999328942810.63</v>
      </c>
      <c r="AW268" s="190">
        <v>133859054480253.08</v>
      </c>
      <c r="AX268" s="190">
        <v>170515999694883.81</v>
      </c>
      <c r="AY268" s="203">
        <v>19.3</v>
      </c>
      <c r="AZ268" s="239">
        <v>304.8</v>
      </c>
      <c r="BA268" s="203">
        <v>1995</v>
      </c>
      <c r="BB268" s="204">
        <v>38819</v>
      </c>
      <c r="BC268" s="203" t="s">
        <v>3098</v>
      </c>
    </row>
    <row r="269" spans="1:55" x14ac:dyDescent="0.2">
      <c r="A269" s="184" t="s">
        <v>1405</v>
      </c>
      <c r="B269" s="184" t="s">
        <v>1404</v>
      </c>
      <c r="C269" s="184" t="s">
        <v>769</v>
      </c>
      <c r="D269" s="185" t="s">
        <v>1043</v>
      </c>
      <c r="E269" s="184" t="s">
        <v>1071</v>
      </c>
      <c r="F269" s="184" t="s">
        <v>1071</v>
      </c>
      <c r="G269" s="186">
        <f>IF(ALECA_Input!$F$13="ICAO (3000ft)",'Aircraft Calc'!C$211,'Aircraft Calc'!G$211)</f>
        <v>0.7</v>
      </c>
      <c r="H269" s="186">
        <f>IF(ALECA_Input!$F$13="ICAO (3000ft)",'Aircraft Calc'!D$211,'Aircraft Calc'!H$211)</f>
        <v>2.2000000000000002</v>
      </c>
      <c r="I269" s="186">
        <f>IF(ALECA_Input!$F$13="ICAO (3000ft)",'Aircraft Calc'!E$211,'Aircraft Calc'!I$211)</f>
        <v>4</v>
      </c>
      <c r="J269" s="189">
        <v>1</v>
      </c>
      <c r="K269" s="187">
        <f t="shared" si="49"/>
        <v>174.73200000000003</v>
      </c>
      <c r="L269" s="187">
        <f t="shared" si="50"/>
        <v>2.3972340000000005</v>
      </c>
      <c r="M269" s="187">
        <f t="shared" si="51"/>
        <v>1.1453040000000001E-2</v>
      </c>
      <c r="N269" s="187">
        <f t="shared" si="52"/>
        <v>0.27508536000000006</v>
      </c>
      <c r="O269" s="187">
        <f t="shared" si="53"/>
        <v>1.1504500789944579E-2</v>
      </c>
      <c r="P269" s="188">
        <f t="shared" si="54"/>
        <v>2.2594857956519904E+16</v>
      </c>
      <c r="Q269" s="187">
        <f t="shared" si="55"/>
        <v>5100.0000000000009</v>
      </c>
      <c r="R269" s="219">
        <f t="shared" si="56"/>
        <v>18.309000000000001</v>
      </c>
      <c r="S269" s="219">
        <f t="shared" si="57"/>
        <v>26.265000000000004</v>
      </c>
      <c r="T269" s="219">
        <f t="shared" si="58"/>
        <v>251.94000000000003</v>
      </c>
      <c r="U269" s="219">
        <f t="shared" si="59"/>
        <v>0.44915047330185526</v>
      </c>
      <c r="V269" s="188">
        <f t="shared" si="60"/>
        <v>1887080973551417.3</v>
      </c>
      <c r="W269" s="323">
        <v>0.79200000000000004</v>
      </c>
      <c r="X269" s="323">
        <v>0.65900000000000003</v>
      </c>
      <c r="Y269" s="323">
        <v>0.22700000000000001</v>
      </c>
      <c r="Z269" s="323">
        <v>8.5000000000000006E-2</v>
      </c>
      <c r="AA269" s="323">
        <v>18.510000000000002</v>
      </c>
      <c r="AB269" s="323">
        <v>15.62</v>
      </c>
      <c r="AC269" s="323">
        <v>7.76</v>
      </c>
      <c r="AD269" s="323">
        <v>3.59</v>
      </c>
      <c r="AE269" s="323">
        <v>0.04</v>
      </c>
      <c r="AF269" s="323">
        <v>0.06</v>
      </c>
      <c r="AG269" s="323">
        <v>0.09</v>
      </c>
      <c r="AH269" s="323">
        <v>5.15</v>
      </c>
      <c r="AI269" s="323">
        <v>0.43</v>
      </c>
      <c r="AJ269" s="323">
        <v>0.38</v>
      </c>
      <c r="AK269" s="323">
        <v>4.18</v>
      </c>
      <c r="AL269" s="323">
        <v>49.4</v>
      </c>
      <c r="AM269" s="323">
        <v>3.3594213715986254E-2</v>
      </c>
      <c r="AN269" s="323">
        <v>9.1775458420153173E-3</v>
      </c>
      <c r="AO269" s="323">
        <v>3.8238455798601544E-3</v>
      </c>
      <c r="AP269" s="323">
        <v>7.3332202552657206E-3</v>
      </c>
      <c r="AQ269" s="323">
        <v>8.7154213715986251E-2</v>
      </c>
      <c r="AR269" s="323">
        <v>6.2697545842015326E-2</v>
      </c>
      <c r="AS269" s="323">
        <v>5.784634557986016E-2</v>
      </c>
      <c r="AT269" s="323">
        <v>8.8068720255265728E-2</v>
      </c>
      <c r="AU269" s="190">
        <v>211884956798628.72</v>
      </c>
      <c r="AV269" s="190">
        <v>57884489296068.688</v>
      </c>
      <c r="AW269" s="190">
        <v>192941644616077.31</v>
      </c>
      <c r="AX269" s="190">
        <v>370015877166944.5</v>
      </c>
      <c r="AY269" s="203">
        <v>2.9</v>
      </c>
      <c r="AZ269" s="239">
        <v>77.400000000000006</v>
      </c>
      <c r="BA269" s="203">
        <v>2004</v>
      </c>
      <c r="BB269" s="204">
        <v>39294</v>
      </c>
      <c r="BC269" s="203" t="s">
        <v>1330</v>
      </c>
    </row>
    <row r="270" spans="1:55" x14ac:dyDescent="0.2">
      <c r="A270" s="184" t="s">
        <v>1407</v>
      </c>
      <c r="B270" s="184" t="s">
        <v>1406</v>
      </c>
      <c r="C270" s="184" t="s">
        <v>769</v>
      </c>
      <c r="D270" s="185" t="s">
        <v>1043</v>
      </c>
      <c r="E270" s="184" t="s">
        <v>1077</v>
      </c>
      <c r="F270" s="184" t="s">
        <v>1077</v>
      </c>
      <c r="G270" s="186">
        <f>IF(ALECA_Input!$F$13="ICAO (3000ft)",'Aircraft Calc'!C$211,'Aircraft Calc'!G$211)</f>
        <v>0.7</v>
      </c>
      <c r="H270" s="186">
        <f>IF(ALECA_Input!$F$13="ICAO (3000ft)",'Aircraft Calc'!D$211,'Aircraft Calc'!H$211)</f>
        <v>2.2000000000000002</v>
      </c>
      <c r="I270" s="186">
        <f>IF(ALECA_Input!$F$13="ICAO (3000ft)",'Aircraft Calc'!E$211,'Aircraft Calc'!I$211)</f>
        <v>4</v>
      </c>
      <c r="J270" s="189">
        <v>1</v>
      </c>
      <c r="K270" s="187">
        <f t="shared" si="49"/>
        <v>190.18200000000002</v>
      </c>
      <c r="L270" s="187">
        <f t="shared" si="50"/>
        <v>2.8290554999999999</v>
      </c>
      <c r="M270" s="187">
        <f t="shared" si="51"/>
        <v>8.6314200000000008E-3</v>
      </c>
      <c r="N270" s="187">
        <f t="shared" si="52"/>
        <v>0.25343544000000001</v>
      </c>
      <c r="O270" s="187">
        <f t="shared" si="53"/>
        <v>1.3661378399256663E-2</v>
      </c>
      <c r="P270" s="188">
        <f t="shared" si="54"/>
        <v>3.4244806834128984E+16</v>
      </c>
      <c r="Q270" s="187">
        <f t="shared" si="55"/>
        <v>5279.9999999999991</v>
      </c>
      <c r="R270" s="219">
        <f t="shared" si="56"/>
        <v>19.6416</v>
      </c>
      <c r="S270" s="219">
        <f t="shared" si="57"/>
        <v>22.703999999999997</v>
      </c>
      <c r="T270" s="219">
        <f t="shared" si="58"/>
        <v>237.23039999999997</v>
      </c>
      <c r="U270" s="219">
        <f t="shared" si="59"/>
        <v>0.43480727434186556</v>
      </c>
      <c r="V270" s="188">
        <f t="shared" si="60"/>
        <v>1827307571350225</v>
      </c>
      <c r="W270" s="323">
        <v>0.871</v>
      </c>
      <c r="X270" s="323">
        <v>0.72</v>
      </c>
      <c r="Y270" s="323">
        <v>0.24399999999999999</v>
      </c>
      <c r="Z270" s="323">
        <v>8.7999999999999995E-2</v>
      </c>
      <c r="AA270" s="323">
        <v>20.45</v>
      </c>
      <c r="AB270" s="323">
        <v>16.88</v>
      </c>
      <c r="AC270" s="323">
        <v>8.14</v>
      </c>
      <c r="AD270" s="323">
        <v>3.72</v>
      </c>
      <c r="AE270" s="323">
        <v>0.01</v>
      </c>
      <c r="AF270" s="323">
        <v>0.05</v>
      </c>
      <c r="AG270" s="323">
        <v>0.06</v>
      </c>
      <c r="AH270" s="323">
        <v>4.3</v>
      </c>
      <c r="AI270" s="323">
        <v>0.52</v>
      </c>
      <c r="AJ270" s="323">
        <v>0.39</v>
      </c>
      <c r="AK270" s="323">
        <v>3.37</v>
      </c>
      <c r="AL270" s="323">
        <v>44.93</v>
      </c>
      <c r="AM270" s="323">
        <v>4.7508304529075868E-2</v>
      </c>
      <c r="AN270" s="323">
        <v>1.8636542452538259E-2</v>
      </c>
      <c r="AO270" s="323">
        <v>4.0990537616935156E-3</v>
      </c>
      <c r="AP270" s="323">
        <v>6.8588625647472649E-3</v>
      </c>
      <c r="AQ270" s="323">
        <v>9.7618304529075869E-2</v>
      </c>
      <c r="AR270" s="323">
        <v>7.1396542452538264E-2</v>
      </c>
      <c r="AS270" s="323">
        <v>5.6434053761693512E-2</v>
      </c>
      <c r="AT270" s="323">
        <v>8.2349862564747273E-2</v>
      </c>
      <c r="AU270" s="190">
        <v>299643716558520.19</v>
      </c>
      <c r="AV270" s="190">
        <v>117544140958798.17</v>
      </c>
      <c r="AW270" s="190">
        <v>206827958303637.66</v>
      </c>
      <c r="AX270" s="190">
        <v>346080979422391.13</v>
      </c>
      <c r="AY270" s="203">
        <v>3.3</v>
      </c>
      <c r="AZ270" s="239">
        <v>83.7</v>
      </c>
      <c r="BA270" s="203">
        <v>2004</v>
      </c>
      <c r="BB270" s="204">
        <v>39294</v>
      </c>
      <c r="BC270" s="203" t="s">
        <v>1330</v>
      </c>
    </row>
    <row r="271" spans="1:55" x14ac:dyDescent="0.2">
      <c r="A271" s="184" t="s">
        <v>1409</v>
      </c>
      <c r="B271" s="184" t="s">
        <v>1408</v>
      </c>
      <c r="C271" s="184" t="s">
        <v>769</v>
      </c>
      <c r="D271" s="185" t="s">
        <v>1043</v>
      </c>
      <c r="E271" s="184" t="s">
        <v>1074</v>
      </c>
      <c r="F271" s="184" t="s">
        <v>1074</v>
      </c>
      <c r="G271" s="186">
        <f>IF(ALECA_Input!$F$13="ICAO (3000ft)",'Aircraft Calc'!C$211,'Aircraft Calc'!G$211)</f>
        <v>0.7</v>
      </c>
      <c r="H271" s="186">
        <f>IF(ALECA_Input!$F$13="ICAO (3000ft)",'Aircraft Calc'!D$211,'Aircraft Calc'!H$211)</f>
        <v>2.2000000000000002</v>
      </c>
      <c r="I271" s="186">
        <f>IF(ALECA_Input!$F$13="ICAO (3000ft)",'Aircraft Calc'!E$211,'Aircraft Calc'!I$211)</f>
        <v>4</v>
      </c>
      <c r="J271" s="189">
        <v>1</v>
      </c>
      <c r="K271" s="187">
        <f t="shared" si="49"/>
        <v>174.73200000000003</v>
      </c>
      <c r="L271" s="187">
        <f t="shared" si="50"/>
        <v>2.3972340000000005</v>
      </c>
      <c r="M271" s="187">
        <f t="shared" si="51"/>
        <v>1.1453040000000001E-2</v>
      </c>
      <c r="N271" s="187">
        <f t="shared" si="52"/>
        <v>0.27508536000000006</v>
      </c>
      <c r="O271" s="187">
        <f t="shared" si="53"/>
        <v>1.1504500789944579E-2</v>
      </c>
      <c r="P271" s="188">
        <f t="shared" si="54"/>
        <v>2.2594857956519904E+16</v>
      </c>
      <c r="Q271" s="187">
        <f t="shared" si="55"/>
        <v>5100.0000000000009</v>
      </c>
      <c r="R271" s="219">
        <f t="shared" si="56"/>
        <v>18.309000000000001</v>
      </c>
      <c r="S271" s="219">
        <f t="shared" si="57"/>
        <v>26.265000000000004</v>
      </c>
      <c r="T271" s="219">
        <f t="shared" si="58"/>
        <v>251.94000000000003</v>
      </c>
      <c r="U271" s="219">
        <f t="shared" si="59"/>
        <v>0.44915047330185526</v>
      </c>
      <c r="V271" s="188">
        <f t="shared" si="60"/>
        <v>1887080973551417.3</v>
      </c>
      <c r="W271" s="323">
        <v>0.79200000000000004</v>
      </c>
      <c r="X271" s="323">
        <v>0.65900000000000003</v>
      </c>
      <c r="Y271" s="323">
        <v>0.22700000000000001</v>
      </c>
      <c r="Z271" s="323">
        <v>8.5000000000000006E-2</v>
      </c>
      <c r="AA271" s="323">
        <v>18.510000000000002</v>
      </c>
      <c r="AB271" s="323">
        <v>15.62</v>
      </c>
      <c r="AC271" s="323">
        <v>7.76</v>
      </c>
      <c r="AD271" s="323">
        <v>3.59</v>
      </c>
      <c r="AE271" s="323">
        <v>0.04</v>
      </c>
      <c r="AF271" s="323">
        <v>0.06</v>
      </c>
      <c r="AG271" s="323">
        <v>0.09</v>
      </c>
      <c r="AH271" s="323">
        <v>5.15</v>
      </c>
      <c r="AI271" s="323">
        <v>0.43</v>
      </c>
      <c r="AJ271" s="323">
        <v>0.38</v>
      </c>
      <c r="AK271" s="323">
        <v>4.18</v>
      </c>
      <c r="AL271" s="323">
        <v>49.4</v>
      </c>
      <c r="AM271" s="323">
        <v>3.3594213715986254E-2</v>
      </c>
      <c r="AN271" s="323">
        <v>9.1775458420153173E-3</v>
      </c>
      <c r="AO271" s="323">
        <v>3.8238455798601544E-3</v>
      </c>
      <c r="AP271" s="323">
        <v>7.3332202552657206E-3</v>
      </c>
      <c r="AQ271" s="323">
        <v>8.7154213715986251E-2</v>
      </c>
      <c r="AR271" s="323">
        <v>6.2697545842015326E-2</v>
      </c>
      <c r="AS271" s="323">
        <v>5.784634557986016E-2</v>
      </c>
      <c r="AT271" s="323">
        <v>8.8068720255265728E-2</v>
      </c>
      <c r="AU271" s="190">
        <v>211884956798628.72</v>
      </c>
      <c r="AV271" s="190">
        <v>57884489296068.688</v>
      </c>
      <c r="AW271" s="190">
        <v>192941644616077.31</v>
      </c>
      <c r="AX271" s="190">
        <v>370015877166944.5</v>
      </c>
      <c r="AY271" s="203">
        <v>2.9</v>
      </c>
      <c r="AZ271" s="239">
        <v>77.400000000000006</v>
      </c>
      <c r="BA271" s="203">
        <v>2004</v>
      </c>
      <c r="BB271" s="204">
        <v>39294</v>
      </c>
      <c r="BC271" s="203" t="s">
        <v>1330</v>
      </c>
    </row>
    <row r="272" spans="1:55" x14ac:dyDescent="0.2">
      <c r="A272" s="184" t="s">
        <v>1411</v>
      </c>
      <c r="B272" s="184" t="s">
        <v>1410</v>
      </c>
      <c r="C272" s="184" t="s">
        <v>769</v>
      </c>
      <c r="D272" s="185" t="s">
        <v>1043</v>
      </c>
      <c r="E272" s="184" t="s">
        <v>1080</v>
      </c>
      <c r="F272" s="184" t="s">
        <v>1080</v>
      </c>
      <c r="G272" s="186">
        <f>IF(ALECA_Input!$F$13="ICAO (3000ft)",'Aircraft Calc'!C$211,'Aircraft Calc'!G$211)</f>
        <v>0.7</v>
      </c>
      <c r="H272" s="186">
        <f>IF(ALECA_Input!$F$13="ICAO (3000ft)",'Aircraft Calc'!D$211,'Aircraft Calc'!H$211)</f>
        <v>2.2000000000000002</v>
      </c>
      <c r="I272" s="186">
        <f>IF(ALECA_Input!$F$13="ICAO (3000ft)",'Aircraft Calc'!E$211,'Aircraft Calc'!I$211)</f>
        <v>4</v>
      </c>
      <c r="J272" s="189">
        <v>1</v>
      </c>
      <c r="K272" s="187">
        <f t="shared" si="49"/>
        <v>190.18200000000002</v>
      </c>
      <c r="L272" s="187">
        <f t="shared" si="50"/>
        <v>2.8290554999999999</v>
      </c>
      <c r="M272" s="187">
        <f t="shared" si="51"/>
        <v>8.6314200000000008E-3</v>
      </c>
      <c r="N272" s="187">
        <f t="shared" si="52"/>
        <v>0.25343544000000001</v>
      </c>
      <c r="O272" s="187">
        <f t="shared" si="53"/>
        <v>1.3661378399256663E-2</v>
      </c>
      <c r="P272" s="188">
        <f t="shared" si="54"/>
        <v>3.4244806834128984E+16</v>
      </c>
      <c r="Q272" s="187">
        <f t="shared" si="55"/>
        <v>5279.9999999999991</v>
      </c>
      <c r="R272" s="219">
        <f t="shared" si="56"/>
        <v>19.6416</v>
      </c>
      <c r="S272" s="219">
        <f t="shared" si="57"/>
        <v>22.703999999999997</v>
      </c>
      <c r="T272" s="219">
        <f t="shared" si="58"/>
        <v>237.23039999999997</v>
      </c>
      <c r="U272" s="219">
        <f t="shared" si="59"/>
        <v>0.43480727434186556</v>
      </c>
      <c r="V272" s="188">
        <f t="shared" si="60"/>
        <v>1827307571350225</v>
      </c>
      <c r="W272" s="323">
        <v>0.871</v>
      </c>
      <c r="X272" s="323">
        <v>0.72</v>
      </c>
      <c r="Y272" s="323">
        <v>0.24399999999999999</v>
      </c>
      <c r="Z272" s="323">
        <v>8.7999999999999995E-2</v>
      </c>
      <c r="AA272" s="323">
        <v>20.45</v>
      </c>
      <c r="AB272" s="323">
        <v>16.88</v>
      </c>
      <c r="AC272" s="323">
        <v>8.14</v>
      </c>
      <c r="AD272" s="323">
        <v>3.72</v>
      </c>
      <c r="AE272" s="323">
        <v>0.01</v>
      </c>
      <c r="AF272" s="323">
        <v>0.05</v>
      </c>
      <c r="AG272" s="323">
        <v>0.06</v>
      </c>
      <c r="AH272" s="323">
        <v>4.3</v>
      </c>
      <c r="AI272" s="323">
        <v>0.52</v>
      </c>
      <c r="AJ272" s="323">
        <v>0.39</v>
      </c>
      <c r="AK272" s="323">
        <v>3.37</v>
      </c>
      <c r="AL272" s="323">
        <v>44.93</v>
      </c>
      <c r="AM272" s="323">
        <v>4.7508304529075868E-2</v>
      </c>
      <c r="AN272" s="323">
        <v>1.8636542452538259E-2</v>
      </c>
      <c r="AO272" s="323">
        <v>4.0990537616935156E-3</v>
      </c>
      <c r="AP272" s="323">
        <v>6.8588625647472649E-3</v>
      </c>
      <c r="AQ272" s="323">
        <v>9.7618304529075869E-2</v>
      </c>
      <c r="AR272" s="323">
        <v>7.1396542452538264E-2</v>
      </c>
      <c r="AS272" s="323">
        <v>5.6434053761693512E-2</v>
      </c>
      <c r="AT272" s="323">
        <v>8.2349862564747273E-2</v>
      </c>
      <c r="AU272" s="190">
        <v>299643716558520.19</v>
      </c>
      <c r="AV272" s="190">
        <v>117544140958798.17</v>
      </c>
      <c r="AW272" s="190">
        <v>206827958303637.66</v>
      </c>
      <c r="AX272" s="190">
        <v>346080979422391.13</v>
      </c>
      <c r="AY272" s="203">
        <v>3.3</v>
      </c>
      <c r="AZ272" s="239">
        <v>83.7</v>
      </c>
      <c r="BA272" s="203">
        <v>2004</v>
      </c>
      <c r="BB272" s="204">
        <v>39294</v>
      </c>
      <c r="BC272" s="203" t="s">
        <v>1330</v>
      </c>
    </row>
    <row r="273" spans="1:55" x14ac:dyDescent="0.2">
      <c r="A273" s="184" t="s">
        <v>1413</v>
      </c>
      <c r="B273" s="184" t="s">
        <v>1412</v>
      </c>
      <c r="C273" s="184" t="s">
        <v>769</v>
      </c>
      <c r="D273" s="185" t="s">
        <v>1043</v>
      </c>
      <c r="E273" s="184" t="s">
        <v>1414</v>
      </c>
      <c r="F273" s="184" t="s">
        <v>1414</v>
      </c>
      <c r="G273" s="186">
        <f>IF(ALECA_Input!$F$13="ICAO (3000ft)",'Aircraft Calc'!C$211,'Aircraft Calc'!G$211)</f>
        <v>0.7</v>
      </c>
      <c r="H273" s="186">
        <f>IF(ALECA_Input!$F$13="ICAO (3000ft)",'Aircraft Calc'!D$211,'Aircraft Calc'!H$211)</f>
        <v>2.2000000000000002</v>
      </c>
      <c r="I273" s="186">
        <f>IF(ALECA_Input!$F$13="ICAO (3000ft)",'Aircraft Calc'!E$211,'Aircraft Calc'!I$211)</f>
        <v>4</v>
      </c>
      <c r="J273" s="189">
        <v>1</v>
      </c>
      <c r="K273" s="187">
        <f t="shared" si="49"/>
        <v>446.73</v>
      </c>
      <c r="L273" s="187">
        <f t="shared" si="50"/>
        <v>8.2402698599999997</v>
      </c>
      <c r="M273" s="187">
        <f t="shared" si="51"/>
        <v>8.8122300000000001E-2</v>
      </c>
      <c r="N273" s="187">
        <f t="shared" si="52"/>
        <v>0.86696705999999979</v>
      </c>
      <c r="O273" s="187">
        <f t="shared" si="53"/>
        <v>5.2123977191471396E-2</v>
      </c>
      <c r="P273" s="188">
        <f t="shared" si="54"/>
        <v>2.0622208895003616E+17</v>
      </c>
      <c r="Q273" s="187">
        <f t="shared" si="55"/>
        <v>9780.0000000000018</v>
      </c>
      <c r="R273" s="219">
        <f t="shared" si="56"/>
        <v>33.252000000000002</v>
      </c>
      <c r="S273" s="219">
        <f t="shared" si="57"/>
        <v>26.601600000000005</v>
      </c>
      <c r="T273" s="219">
        <f t="shared" si="58"/>
        <v>235.11120000000003</v>
      </c>
      <c r="U273" s="219">
        <f t="shared" si="59"/>
        <v>0.76419165384445176</v>
      </c>
      <c r="V273" s="188">
        <f t="shared" si="60"/>
        <v>6117010880011981</v>
      </c>
      <c r="W273" s="323">
        <v>2.0270000000000001</v>
      </c>
      <c r="X273" s="323">
        <v>1.663</v>
      </c>
      <c r="Y273" s="323">
        <v>0.59199999999999997</v>
      </c>
      <c r="Z273" s="323">
        <v>0.16300000000000001</v>
      </c>
      <c r="AA273" s="323">
        <v>25.45</v>
      </c>
      <c r="AB273" s="323">
        <v>21.61</v>
      </c>
      <c r="AC273" s="323">
        <v>9.36</v>
      </c>
      <c r="AD273" s="323">
        <v>3.4</v>
      </c>
      <c r="AE273" s="323">
        <v>0.09</v>
      </c>
      <c r="AF273" s="323">
        <v>0.14000000000000001</v>
      </c>
      <c r="AG273" s="323">
        <v>0.35</v>
      </c>
      <c r="AH273" s="323">
        <v>2.72</v>
      </c>
      <c r="AI273" s="323">
        <v>0.43</v>
      </c>
      <c r="AJ273" s="323">
        <v>0.54</v>
      </c>
      <c r="AK273" s="323">
        <v>5.01</v>
      </c>
      <c r="AL273" s="323">
        <v>24.04</v>
      </c>
      <c r="AM273" s="323">
        <v>6.7686344809411589E-2</v>
      </c>
      <c r="AN273" s="323">
        <v>7.8661027724111127E-2</v>
      </c>
      <c r="AO273" s="323">
        <v>8.5045454010484987E-3</v>
      </c>
      <c r="AP273" s="323">
        <v>1.2395805914565596E-2</v>
      </c>
      <c r="AQ273" s="323">
        <v>0.12699634480941158</v>
      </c>
      <c r="AR273" s="323">
        <v>0.13826102772411114</v>
      </c>
      <c r="AS273" s="323">
        <v>7.7152045401048502E-2</v>
      </c>
      <c r="AT273" s="323">
        <v>7.8138205914565606E-2</v>
      </c>
      <c r="AU273" s="190">
        <v>426910371144497.5</v>
      </c>
      <c r="AV273" s="190">
        <v>496129738352166.44</v>
      </c>
      <c r="AW273" s="190">
        <v>429118002314937.75</v>
      </c>
      <c r="AX273" s="190">
        <v>625461235175049.13</v>
      </c>
      <c r="AY273" s="203">
        <v>9.1</v>
      </c>
      <c r="AZ273" s="239">
        <v>202.8</v>
      </c>
      <c r="BA273" s="203">
        <v>1987</v>
      </c>
      <c r="BB273" s="204">
        <v>39296</v>
      </c>
      <c r="BC273" s="203" t="s">
        <v>1415</v>
      </c>
    </row>
    <row r="274" spans="1:55" x14ac:dyDescent="0.2">
      <c r="A274" s="184" t="s">
        <v>1417</v>
      </c>
      <c r="B274" s="184" t="s">
        <v>1416</v>
      </c>
      <c r="C274" s="184" t="s">
        <v>769</v>
      </c>
      <c r="D274" s="185" t="s">
        <v>1043</v>
      </c>
      <c r="E274" s="184" t="s">
        <v>1418</v>
      </c>
      <c r="F274" s="184" t="s">
        <v>1419</v>
      </c>
      <c r="G274" s="186">
        <f>IF(ALECA_Input!$F$13="ICAO (3000ft)",'Aircraft Calc'!C$211,'Aircraft Calc'!G$211)</f>
        <v>0.7</v>
      </c>
      <c r="H274" s="186">
        <f>IF(ALECA_Input!$F$13="ICAO (3000ft)",'Aircraft Calc'!D$211,'Aircraft Calc'!H$211)</f>
        <v>2.2000000000000002</v>
      </c>
      <c r="I274" s="186">
        <f>IF(ALECA_Input!$F$13="ICAO (3000ft)",'Aircraft Calc'!E$211,'Aircraft Calc'!I$211)</f>
        <v>4</v>
      </c>
      <c r="J274" s="189">
        <v>1</v>
      </c>
      <c r="K274" s="187">
        <f t="shared" si="49"/>
        <v>452.86800000000005</v>
      </c>
      <c r="L274" s="187">
        <f t="shared" si="50"/>
        <v>9.7894583999999991</v>
      </c>
      <c r="M274" s="187">
        <f t="shared" si="51"/>
        <v>0.37297560000000002</v>
      </c>
      <c r="N274" s="187">
        <f t="shared" si="52"/>
        <v>1.2058739999999999</v>
      </c>
      <c r="O274" s="187">
        <f t="shared" si="53"/>
        <v>5.8320726923623278E-2</v>
      </c>
      <c r="P274" s="188">
        <f t="shared" si="54"/>
        <v>2.4540776889741818E+17</v>
      </c>
      <c r="Q274" s="187">
        <f t="shared" si="55"/>
        <v>12000</v>
      </c>
      <c r="R274" s="219">
        <f t="shared" si="56"/>
        <v>39.6</v>
      </c>
      <c r="S274" s="219">
        <f t="shared" si="57"/>
        <v>312</v>
      </c>
      <c r="T274" s="219">
        <f t="shared" si="58"/>
        <v>792</v>
      </c>
      <c r="U274" s="219">
        <f t="shared" si="59"/>
        <v>3.4687718914504364</v>
      </c>
      <c r="V274" s="188">
        <f t="shared" si="60"/>
        <v>4.82480505775666E+16</v>
      </c>
      <c r="W274" s="323">
        <v>2.0579999999999998</v>
      </c>
      <c r="X274" s="323">
        <v>1.716</v>
      </c>
      <c r="Y274" s="323">
        <v>0.58299999999999996</v>
      </c>
      <c r="Z274" s="323">
        <v>0.2</v>
      </c>
      <c r="AA274" s="323">
        <v>31</v>
      </c>
      <c r="AB274" s="323">
        <v>26.2</v>
      </c>
      <c r="AC274" s="323">
        <v>8.4</v>
      </c>
      <c r="AD274" s="323">
        <v>3.3000000000000003</v>
      </c>
      <c r="AE274" s="323">
        <v>0.70000000000000007</v>
      </c>
      <c r="AF274" s="323">
        <v>0.70000000000000007</v>
      </c>
      <c r="AG274" s="323">
        <v>1.1000000000000001</v>
      </c>
      <c r="AH274" s="323">
        <v>26</v>
      </c>
      <c r="AI274" s="323">
        <v>0.5</v>
      </c>
      <c r="AJ274" s="323">
        <v>0.5</v>
      </c>
      <c r="AK274" s="323">
        <v>7.5</v>
      </c>
      <c r="AL274" s="323">
        <v>66</v>
      </c>
      <c r="AM274" s="323">
        <v>1.7010239576834309E-2</v>
      </c>
      <c r="AN274" s="323">
        <v>1.1766310726189198E-2</v>
      </c>
      <c r="AO274" s="323">
        <v>3.1065720414161342E-2</v>
      </c>
      <c r="AP274" s="323">
        <v>7.9684324287536384E-2</v>
      </c>
      <c r="AQ274" s="323">
        <v>0.14647023957683433</v>
      </c>
      <c r="AR274" s="323">
        <v>0.11392631072618919</v>
      </c>
      <c r="AS274" s="323">
        <v>0.14190072041416135</v>
      </c>
      <c r="AT274" s="323">
        <v>0.28906432428753637</v>
      </c>
      <c r="AU274" s="190">
        <v>107286746114755.73</v>
      </c>
      <c r="AV274" s="190">
        <v>74212311113311.266</v>
      </c>
      <c r="AW274" s="190">
        <v>1567498232528193.3</v>
      </c>
      <c r="AX274" s="190">
        <v>4020670881463883.5</v>
      </c>
      <c r="AY274" s="203">
        <v>25.7</v>
      </c>
      <c r="AZ274" s="239">
        <v>202.8</v>
      </c>
      <c r="BA274" s="203">
        <v>1979</v>
      </c>
      <c r="BB274" s="204">
        <v>39296</v>
      </c>
      <c r="BC274" s="203" t="s">
        <v>741</v>
      </c>
    </row>
    <row r="275" spans="1:55" x14ac:dyDescent="0.2">
      <c r="A275" s="184" t="s">
        <v>1421</v>
      </c>
      <c r="B275" s="184" t="s">
        <v>1420</v>
      </c>
      <c r="C275" s="184" t="s">
        <v>769</v>
      </c>
      <c r="D275" s="185" t="s">
        <v>1043</v>
      </c>
      <c r="E275" s="184" t="s">
        <v>1418</v>
      </c>
      <c r="F275" s="184" t="s">
        <v>1418</v>
      </c>
      <c r="G275" s="186">
        <f>IF(ALECA_Input!$F$13="ICAO (3000ft)",'Aircraft Calc'!C$211,'Aircraft Calc'!G$211)</f>
        <v>0.7</v>
      </c>
      <c r="H275" s="186">
        <f>IF(ALECA_Input!$F$13="ICAO (3000ft)",'Aircraft Calc'!D$211,'Aircraft Calc'!H$211)</f>
        <v>2.2000000000000002</v>
      </c>
      <c r="I275" s="186">
        <f>IF(ALECA_Input!$F$13="ICAO (3000ft)",'Aircraft Calc'!E$211,'Aircraft Calc'!I$211)</f>
        <v>4</v>
      </c>
      <c r="J275" s="189">
        <v>1</v>
      </c>
      <c r="K275" s="187">
        <f t="shared" si="49"/>
        <v>446.73</v>
      </c>
      <c r="L275" s="187">
        <f t="shared" si="50"/>
        <v>8.2402698599999997</v>
      </c>
      <c r="M275" s="187">
        <f t="shared" si="51"/>
        <v>8.8122300000000001E-2</v>
      </c>
      <c r="N275" s="187">
        <f t="shared" si="52"/>
        <v>0.86696705999999979</v>
      </c>
      <c r="O275" s="187">
        <f t="shared" si="53"/>
        <v>5.2123977191471396E-2</v>
      </c>
      <c r="P275" s="188">
        <f t="shared" si="54"/>
        <v>2.0622208895003616E+17</v>
      </c>
      <c r="Q275" s="187">
        <f t="shared" si="55"/>
        <v>9780.0000000000018</v>
      </c>
      <c r="R275" s="219">
        <f t="shared" si="56"/>
        <v>33.252000000000002</v>
      </c>
      <c r="S275" s="219">
        <f t="shared" si="57"/>
        <v>26.601600000000005</v>
      </c>
      <c r="T275" s="219">
        <f t="shared" si="58"/>
        <v>235.11120000000003</v>
      </c>
      <c r="U275" s="219">
        <f t="shared" si="59"/>
        <v>0.76419165384445176</v>
      </c>
      <c r="V275" s="188">
        <f t="shared" si="60"/>
        <v>6117010880011981</v>
      </c>
      <c r="W275" s="323">
        <v>2.0270000000000001</v>
      </c>
      <c r="X275" s="323">
        <v>1.663</v>
      </c>
      <c r="Y275" s="323">
        <v>0.59199999999999997</v>
      </c>
      <c r="Z275" s="323">
        <v>0.16300000000000001</v>
      </c>
      <c r="AA275" s="323">
        <v>25.45</v>
      </c>
      <c r="AB275" s="323">
        <v>21.61</v>
      </c>
      <c r="AC275" s="323">
        <v>9.36</v>
      </c>
      <c r="AD275" s="323">
        <v>3.4</v>
      </c>
      <c r="AE275" s="323">
        <v>0.09</v>
      </c>
      <c r="AF275" s="323">
        <v>0.14000000000000001</v>
      </c>
      <c r="AG275" s="323">
        <v>0.35</v>
      </c>
      <c r="AH275" s="323">
        <v>2.72</v>
      </c>
      <c r="AI275" s="323">
        <v>0.43</v>
      </c>
      <c r="AJ275" s="323">
        <v>0.54</v>
      </c>
      <c r="AK275" s="323">
        <v>5.01</v>
      </c>
      <c r="AL275" s="323">
        <v>24.04</v>
      </c>
      <c r="AM275" s="323">
        <v>6.7686344809411589E-2</v>
      </c>
      <c r="AN275" s="323">
        <v>7.8661027724111127E-2</v>
      </c>
      <c r="AO275" s="323">
        <v>8.5045454010484987E-3</v>
      </c>
      <c r="AP275" s="323">
        <v>1.2395805914565596E-2</v>
      </c>
      <c r="AQ275" s="323">
        <v>0.12699634480941158</v>
      </c>
      <c r="AR275" s="323">
        <v>0.13826102772411114</v>
      </c>
      <c r="AS275" s="323">
        <v>7.7152045401048502E-2</v>
      </c>
      <c r="AT275" s="323">
        <v>7.8138205914565606E-2</v>
      </c>
      <c r="AU275" s="190">
        <v>426910371144497.5</v>
      </c>
      <c r="AV275" s="190">
        <v>496129738352166.44</v>
      </c>
      <c r="AW275" s="190">
        <v>429118002314937.75</v>
      </c>
      <c r="AX275" s="190">
        <v>625461235175049.13</v>
      </c>
      <c r="AY275" s="203">
        <v>9.1</v>
      </c>
      <c r="AZ275" s="239">
        <v>202.8</v>
      </c>
      <c r="BA275" s="203">
        <v>1987</v>
      </c>
      <c r="BB275" s="204">
        <v>39296</v>
      </c>
      <c r="BC275" s="203" t="s">
        <v>1422</v>
      </c>
    </row>
    <row r="276" spans="1:55" x14ac:dyDescent="0.2">
      <c r="A276" s="184" t="s">
        <v>650</v>
      </c>
      <c r="B276" s="184" t="s">
        <v>1423</v>
      </c>
      <c r="C276" s="184" t="s">
        <v>769</v>
      </c>
      <c r="D276" s="185" t="s">
        <v>1043</v>
      </c>
      <c r="E276" s="184" t="s">
        <v>209</v>
      </c>
      <c r="F276" s="184" t="s">
        <v>209</v>
      </c>
      <c r="G276" s="186">
        <f>IF(ALECA_Input!$F$13="ICAO (3000ft)",'Aircraft Calc'!C$211,'Aircraft Calc'!G$211)</f>
        <v>0.7</v>
      </c>
      <c r="H276" s="186">
        <f>IF(ALECA_Input!$F$13="ICAO (3000ft)",'Aircraft Calc'!D$211,'Aircraft Calc'!H$211)</f>
        <v>2.2000000000000002</v>
      </c>
      <c r="I276" s="186">
        <f>IF(ALECA_Input!$F$13="ICAO (3000ft)",'Aircraft Calc'!E$211,'Aircraft Calc'!I$211)</f>
        <v>4</v>
      </c>
      <c r="J276" s="189">
        <v>1</v>
      </c>
      <c r="K276" s="187">
        <f t="shared" si="49"/>
        <v>476.94</v>
      </c>
      <c r="L276" s="187">
        <f t="shared" si="50"/>
        <v>9.4210122000000016</v>
      </c>
      <c r="M276" s="187">
        <f t="shared" si="51"/>
        <v>9.3182160000000014E-2</v>
      </c>
      <c r="N276" s="187">
        <f t="shared" si="52"/>
        <v>0.80723724000000008</v>
      </c>
      <c r="O276" s="187">
        <f t="shared" si="53"/>
        <v>5.6378560283101863E-2</v>
      </c>
      <c r="P276" s="188">
        <f t="shared" si="54"/>
        <v>2.3586059832594611E+17</v>
      </c>
      <c r="Q276" s="187">
        <f t="shared" si="55"/>
        <v>9780.0000000000018</v>
      </c>
      <c r="R276" s="219">
        <f t="shared" si="56"/>
        <v>33.252000000000002</v>
      </c>
      <c r="S276" s="219">
        <f t="shared" si="57"/>
        <v>26.601600000000005</v>
      </c>
      <c r="T276" s="219">
        <f t="shared" si="58"/>
        <v>235.11120000000003</v>
      </c>
      <c r="U276" s="219">
        <f t="shared" si="59"/>
        <v>0.76419165384445176</v>
      </c>
      <c r="V276" s="188">
        <f t="shared" si="60"/>
        <v>6117010880011981</v>
      </c>
      <c r="W276" s="323">
        <v>2.1680000000000001</v>
      </c>
      <c r="X276" s="323">
        <v>1.7869999999999999</v>
      </c>
      <c r="Y276" s="323">
        <v>0.625</v>
      </c>
      <c r="Z276" s="323">
        <v>0.16300000000000001</v>
      </c>
      <c r="AA276" s="323">
        <v>27.17</v>
      </c>
      <c r="AB276" s="323">
        <v>23.27</v>
      </c>
      <c r="AC276" s="323">
        <v>9.7200000000000006</v>
      </c>
      <c r="AD276" s="323">
        <v>3.4</v>
      </c>
      <c r="AE276" s="323">
        <v>0.15</v>
      </c>
      <c r="AF276" s="323">
        <v>0.14000000000000001</v>
      </c>
      <c r="AG276" s="323">
        <v>0.31</v>
      </c>
      <c r="AH276" s="323">
        <v>2.72</v>
      </c>
      <c r="AI276" s="323">
        <v>0.43</v>
      </c>
      <c r="AJ276" s="323">
        <v>0.49</v>
      </c>
      <c r="AK276" s="323">
        <v>4.3499999999999996</v>
      </c>
      <c r="AL276" s="323">
        <v>24.04</v>
      </c>
      <c r="AM276" s="323">
        <v>6.7283217748686827E-2</v>
      </c>
      <c r="AN276" s="323">
        <v>7.8955351612755659E-2</v>
      </c>
      <c r="AO276" s="323">
        <v>1.0537241919694469E-2</v>
      </c>
      <c r="AP276" s="323">
        <v>1.2395805914565596E-2</v>
      </c>
      <c r="AQ276" s="323">
        <v>0.13349321774868683</v>
      </c>
      <c r="AR276" s="323">
        <v>0.13855535161275567</v>
      </c>
      <c r="AS276" s="323">
        <v>7.693474191969446E-2</v>
      </c>
      <c r="AT276" s="323">
        <v>7.8138205914565606E-2</v>
      </c>
      <c r="AU276" s="190">
        <v>424367773762455.56</v>
      </c>
      <c r="AV276" s="190">
        <v>497986093882838.5</v>
      </c>
      <c r="AW276" s="190">
        <v>531682763658483.31</v>
      </c>
      <c r="AX276" s="190">
        <v>625461235175049.13</v>
      </c>
      <c r="AY276" s="203">
        <v>10.3</v>
      </c>
      <c r="AZ276" s="239">
        <v>215.3</v>
      </c>
      <c r="BA276" s="203">
        <v>1987</v>
      </c>
      <c r="BB276" s="204">
        <v>39296</v>
      </c>
      <c r="BC276" s="203" t="s">
        <v>1415</v>
      </c>
    </row>
    <row r="277" spans="1:55" x14ac:dyDescent="0.2">
      <c r="A277" s="184" t="s">
        <v>1425</v>
      </c>
      <c r="B277" s="184" t="s">
        <v>1424</v>
      </c>
      <c r="C277" s="184" t="s">
        <v>769</v>
      </c>
      <c r="D277" s="185" t="s">
        <v>1043</v>
      </c>
      <c r="E277" s="184" t="s">
        <v>1426</v>
      </c>
      <c r="F277" s="184" t="s">
        <v>1426</v>
      </c>
      <c r="G277" s="186">
        <f>IF(ALECA_Input!$F$13="ICAO (3000ft)",'Aircraft Calc'!C$211,'Aircraft Calc'!G$211)</f>
        <v>0.7</v>
      </c>
      <c r="H277" s="186">
        <f>IF(ALECA_Input!$F$13="ICAO (3000ft)",'Aircraft Calc'!D$211,'Aircraft Calc'!H$211)</f>
        <v>2.2000000000000002</v>
      </c>
      <c r="I277" s="186">
        <f>IF(ALECA_Input!$F$13="ICAO (3000ft)",'Aircraft Calc'!E$211,'Aircraft Calc'!I$211)</f>
        <v>4</v>
      </c>
      <c r="J277" s="189">
        <v>1</v>
      </c>
      <c r="K277" s="187">
        <f t="shared" si="49"/>
        <v>523.35</v>
      </c>
      <c r="L277" s="187">
        <f t="shared" si="50"/>
        <v>11.838411960000002</v>
      </c>
      <c r="M277" s="187">
        <f t="shared" si="51"/>
        <v>5.6937720000000004E-2</v>
      </c>
      <c r="N277" s="187">
        <f t="shared" si="52"/>
        <v>0.53033748000000003</v>
      </c>
      <c r="O277" s="187">
        <f t="shared" si="53"/>
        <v>5.2349055117584017E-2</v>
      </c>
      <c r="P277" s="188">
        <f t="shared" si="54"/>
        <v>2.8886813367344525E+17</v>
      </c>
      <c r="Q277" s="187">
        <f t="shared" si="55"/>
        <v>12120.000000000002</v>
      </c>
      <c r="R277" s="219">
        <f t="shared" si="56"/>
        <v>47.510400000000004</v>
      </c>
      <c r="S277" s="219">
        <f t="shared" si="57"/>
        <v>108.3528</v>
      </c>
      <c r="T277" s="219">
        <f t="shared" si="58"/>
        <v>503.10120000000001</v>
      </c>
      <c r="U277" s="219">
        <f t="shared" si="59"/>
        <v>1.5884389561718555</v>
      </c>
      <c r="V277" s="188">
        <f t="shared" si="60"/>
        <v>1.647472221806893E+16</v>
      </c>
      <c r="W277" s="323">
        <v>2.4569999999999999</v>
      </c>
      <c r="X277" s="323">
        <v>2.0030000000000001</v>
      </c>
      <c r="Y277" s="323">
        <v>0.64900000000000002</v>
      </c>
      <c r="Z277" s="323">
        <v>0.20200000000000001</v>
      </c>
      <c r="AA277" s="323">
        <v>34.5</v>
      </c>
      <c r="AB277" s="323">
        <v>25.46</v>
      </c>
      <c r="AC277" s="323">
        <v>9.93</v>
      </c>
      <c r="AD277" s="323">
        <v>3.92</v>
      </c>
      <c r="AE277" s="323">
        <v>0.06</v>
      </c>
      <c r="AF277" s="323">
        <v>0.08</v>
      </c>
      <c r="AG277" s="323">
        <v>0.19</v>
      </c>
      <c r="AH277" s="323">
        <v>8.94</v>
      </c>
      <c r="AI277" s="323">
        <v>0.57999999999999996</v>
      </c>
      <c r="AJ277" s="323">
        <v>0.56000000000000005</v>
      </c>
      <c r="AK277" s="323">
        <v>2.0699999999999998</v>
      </c>
      <c r="AL277" s="323">
        <v>41.51</v>
      </c>
      <c r="AM277" s="323">
        <v>5.0732736852412461E-2</v>
      </c>
      <c r="AN277" s="323">
        <v>5.3753601781559641E-2</v>
      </c>
      <c r="AO277" s="323">
        <v>2.1148154174363831E-2</v>
      </c>
      <c r="AP277" s="323">
        <v>2.6939519816159694E-2</v>
      </c>
      <c r="AQ277" s="323">
        <v>0.10659273685241247</v>
      </c>
      <c r="AR277" s="323">
        <v>0.10879360178155965</v>
      </c>
      <c r="AS277" s="323">
        <v>8.0795654174363837E-2</v>
      </c>
      <c r="AT277" s="323">
        <v>0.13105931981615968</v>
      </c>
      <c r="AU277" s="190">
        <v>319980811193515.69</v>
      </c>
      <c r="AV277" s="190">
        <v>339033968395473.19</v>
      </c>
      <c r="AW277" s="190">
        <v>1067082747401464</v>
      </c>
      <c r="AX277" s="190">
        <v>1359300513041990.8</v>
      </c>
      <c r="AY277" s="203">
        <v>13.1</v>
      </c>
      <c r="AZ277" s="239">
        <v>262.22000000000003</v>
      </c>
      <c r="BA277" s="203">
        <v>1985</v>
      </c>
      <c r="BB277" s="204">
        <v>39045</v>
      </c>
      <c r="BC277" s="203" t="s">
        <v>3099</v>
      </c>
    </row>
    <row r="278" spans="1:55" x14ac:dyDescent="0.2">
      <c r="A278" s="184" t="s">
        <v>1428</v>
      </c>
      <c r="B278" s="184" t="s">
        <v>1427</v>
      </c>
      <c r="C278" s="184" t="s">
        <v>769</v>
      </c>
      <c r="D278" s="185" t="s">
        <v>1043</v>
      </c>
      <c r="E278" s="184" t="s">
        <v>1429</v>
      </c>
      <c r="F278" s="184" t="s">
        <v>1429</v>
      </c>
      <c r="G278" s="186">
        <f>IF(ALECA_Input!$F$13="ICAO (3000ft)",'Aircraft Calc'!C$211,'Aircraft Calc'!G$211)</f>
        <v>0.7</v>
      </c>
      <c r="H278" s="186">
        <f>IF(ALECA_Input!$F$13="ICAO (3000ft)",'Aircraft Calc'!D$211,'Aircraft Calc'!H$211)</f>
        <v>2.2000000000000002</v>
      </c>
      <c r="I278" s="186">
        <f>IF(ALECA_Input!$F$13="ICAO (3000ft)",'Aircraft Calc'!E$211,'Aircraft Calc'!I$211)</f>
        <v>4</v>
      </c>
      <c r="J278" s="189">
        <v>1</v>
      </c>
      <c r="K278" s="187">
        <f t="shared" si="49"/>
        <v>548.10599999999999</v>
      </c>
      <c r="L278" s="187">
        <f t="shared" si="50"/>
        <v>11.5113942</v>
      </c>
      <c r="M278" s="187">
        <f t="shared" si="51"/>
        <v>6.2550060000000005E-2</v>
      </c>
      <c r="N278" s="187">
        <f t="shared" si="52"/>
        <v>0.51749592000000011</v>
      </c>
      <c r="O278" s="187">
        <f t="shared" si="53"/>
        <v>5.4992953436559681E-2</v>
      </c>
      <c r="P278" s="188">
        <f t="shared" si="54"/>
        <v>3.038018346168704E+17</v>
      </c>
      <c r="Q278" s="187">
        <f t="shared" si="55"/>
        <v>12420</v>
      </c>
      <c r="R278" s="219">
        <f t="shared" si="56"/>
        <v>47.071800000000003</v>
      </c>
      <c r="S278" s="219">
        <f t="shared" si="57"/>
        <v>111.6558</v>
      </c>
      <c r="T278" s="219">
        <f t="shared" si="58"/>
        <v>517.29300000000001</v>
      </c>
      <c r="U278" s="219">
        <f t="shared" si="59"/>
        <v>1.6315883221167033</v>
      </c>
      <c r="V278" s="188">
        <f t="shared" si="60"/>
        <v>1.6882512371981526E+16</v>
      </c>
      <c r="W278" s="323">
        <v>2.581</v>
      </c>
      <c r="X278" s="323">
        <v>2.0819999999999999</v>
      </c>
      <c r="Y278" s="323">
        <v>0.68700000000000006</v>
      </c>
      <c r="Z278" s="323">
        <v>0.20699999999999999</v>
      </c>
      <c r="AA278" s="323">
        <v>34.380000000000003</v>
      </c>
      <c r="AB278" s="323">
        <v>22.86</v>
      </c>
      <c r="AC278" s="323">
        <v>9.11</v>
      </c>
      <c r="AD278" s="323">
        <v>3.79</v>
      </c>
      <c r="AE278" s="323">
        <v>7.0000000000000007E-2</v>
      </c>
      <c r="AF278" s="323">
        <v>0.08</v>
      </c>
      <c r="AG278" s="323">
        <v>0.2</v>
      </c>
      <c r="AH278" s="323">
        <v>8.99</v>
      </c>
      <c r="AI278" s="323">
        <v>0.52</v>
      </c>
      <c r="AJ278" s="323">
        <v>0.52</v>
      </c>
      <c r="AK278" s="323">
        <v>1.93</v>
      </c>
      <c r="AL278" s="323">
        <v>41.65</v>
      </c>
      <c r="AM278" s="323">
        <v>5.0732736852412461E-2</v>
      </c>
      <c r="AN278" s="323">
        <v>5.3753601781559641E-2</v>
      </c>
      <c r="AO278" s="323">
        <v>2.1148154174363831E-2</v>
      </c>
      <c r="AP278" s="323">
        <v>2.6939519816159694E-2</v>
      </c>
      <c r="AQ278" s="323">
        <v>0.10774273685241247</v>
      </c>
      <c r="AR278" s="323">
        <v>0.10879360178155965</v>
      </c>
      <c r="AS278" s="323">
        <v>8.1358154174363845E-2</v>
      </c>
      <c r="AT278" s="323">
        <v>0.13136781981615969</v>
      </c>
      <c r="AU278" s="190">
        <v>319980811193515.69</v>
      </c>
      <c r="AV278" s="190">
        <v>339033968395473.19</v>
      </c>
      <c r="AW278" s="190">
        <v>1067082747401464</v>
      </c>
      <c r="AX278" s="190">
        <v>1359300513041990.8</v>
      </c>
      <c r="AY278" s="203">
        <v>12.7</v>
      </c>
      <c r="AZ278" s="239">
        <v>267.3</v>
      </c>
      <c r="BA278" s="203">
        <v>1985</v>
      </c>
      <c r="BB278" s="204">
        <v>39045</v>
      </c>
      <c r="BC278" s="203" t="s">
        <v>3099</v>
      </c>
    </row>
    <row r="279" spans="1:55" x14ac:dyDescent="0.2">
      <c r="A279" s="184" t="s">
        <v>711</v>
      </c>
      <c r="B279" s="184" t="s">
        <v>3100</v>
      </c>
      <c r="C279" s="184" t="s">
        <v>769</v>
      </c>
      <c r="D279" s="185" t="s">
        <v>1043</v>
      </c>
      <c r="E279" s="184" t="s">
        <v>3101</v>
      </c>
      <c r="F279" s="184" t="s">
        <v>3101</v>
      </c>
      <c r="G279" s="186">
        <f>IF(ALECA_Input!$F$13="ICAO (3000ft)",'Aircraft Calc'!C$211,'Aircraft Calc'!G$211)</f>
        <v>0.7</v>
      </c>
      <c r="H279" s="186">
        <f>IF(ALECA_Input!$F$13="ICAO (3000ft)",'Aircraft Calc'!D$211,'Aircraft Calc'!H$211)</f>
        <v>2.2000000000000002</v>
      </c>
      <c r="I279" s="186">
        <f>IF(ALECA_Input!$F$13="ICAO (3000ft)",'Aircraft Calc'!E$211,'Aircraft Calc'!I$211)</f>
        <v>4</v>
      </c>
      <c r="J279" s="189">
        <v>1</v>
      </c>
      <c r="K279" s="187">
        <f t="shared" ref="K279:K342" si="61">(G279*W279*60+H279*X279*60+I279*Y279*60)</f>
        <v>174.73200000000003</v>
      </c>
      <c r="L279" s="187">
        <f t="shared" ref="L279:L342" si="62">(G279*W279*60*AA279+H279*X279*60*AB279+I279*Y279*60*AC279)/1000</f>
        <v>2.3972340000000005</v>
      </c>
      <c r="M279" s="187">
        <f t="shared" ref="M279:M342" si="63">(G279*W279*60*AE279+H279*X279*60*AF279+I279*Y279*60*AG279)/1000</f>
        <v>1.1453040000000001E-2</v>
      </c>
      <c r="N279" s="187">
        <f t="shared" ref="N279:N342" si="64">(G279*W279*60*AI279+H279*X279*60*AJ279+I279*Y279*60*AK279)/1000</f>
        <v>0.27508536000000006</v>
      </c>
      <c r="O279" s="187">
        <f t="shared" ref="O279:O342" si="65">(G279*W279*60*AQ279+H279*X279*60*AR279+I279*Y279*60*AS279)/1000</f>
        <v>1.1504500789944579E-2</v>
      </c>
      <c r="P279" s="188">
        <f t="shared" ref="P279:P342" si="66">(G279*W279*60*AU279+H279*X279*60*AV279+I279*Y279*60*AW279)</f>
        <v>2.2594857956519904E+16</v>
      </c>
      <c r="Q279" s="187">
        <f t="shared" ref="Q279:Q342" si="67">J279*Z279*60*1000</f>
        <v>5100.0000000000009</v>
      </c>
      <c r="R279" s="219">
        <f t="shared" ref="R279:R342" si="68">J279*Z279*60*AD279</f>
        <v>18.309000000000001</v>
      </c>
      <c r="S279" s="219">
        <f t="shared" ref="S279:S342" si="69">J279*Z279*60*AH279</f>
        <v>26.265000000000004</v>
      </c>
      <c r="T279" s="219">
        <f t="shared" ref="T279:T342" si="70">J279*Z279*60*AL279</f>
        <v>251.94000000000003</v>
      </c>
      <c r="U279" s="219">
        <f t="shared" ref="U279:U342" si="71">J279*Z279*60*AT279</f>
        <v>0.44915047330185526</v>
      </c>
      <c r="V279" s="188">
        <f t="shared" ref="V279:V342" si="72">J279*Z279*60*AX279</f>
        <v>1887080973551417.3</v>
      </c>
      <c r="W279" s="323">
        <v>0.79200000000000004</v>
      </c>
      <c r="X279" s="323">
        <v>0.65900000000000003</v>
      </c>
      <c r="Y279" s="323">
        <v>0.22700000000000001</v>
      </c>
      <c r="Z279" s="323">
        <v>8.5000000000000006E-2</v>
      </c>
      <c r="AA279" s="323">
        <v>18.510000000000002</v>
      </c>
      <c r="AB279" s="323">
        <v>15.62</v>
      </c>
      <c r="AC279" s="323">
        <v>7.76</v>
      </c>
      <c r="AD279" s="323">
        <v>3.59</v>
      </c>
      <c r="AE279" s="323">
        <v>0.04</v>
      </c>
      <c r="AF279" s="323">
        <v>0.06</v>
      </c>
      <c r="AG279" s="323">
        <v>0.09</v>
      </c>
      <c r="AH279" s="323">
        <v>5.15</v>
      </c>
      <c r="AI279" s="323">
        <v>0.43</v>
      </c>
      <c r="AJ279" s="323">
        <v>0.38</v>
      </c>
      <c r="AK279" s="323">
        <v>4.18</v>
      </c>
      <c r="AL279" s="323">
        <v>49.4</v>
      </c>
      <c r="AM279" s="323">
        <v>3.3594213715986254E-2</v>
      </c>
      <c r="AN279" s="323">
        <v>9.1775458420153173E-3</v>
      </c>
      <c r="AO279" s="323">
        <v>3.8238455798601544E-3</v>
      </c>
      <c r="AP279" s="323">
        <v>7.3332202552657206E-3</v>
      </c>
      <c r="AQ279" s="323">
        <v>8.7154213715986251E-2</v>
      </c>
      <c r="AR279" s="323">
        <v>6.2697545842015326E-2</v>
      </c>
      <c r="AS279" s="323">
        <v>5.784634557986016E-2</v>
      </c>
      <c r="AT279" s="323">
        <v>8.8068720255265728E-2</v>
      </c>
      <c r="AU279" s="190">
        <v>211884956798628.72</v>
      </c>
      <c r="AV279" s="190">
        <v>57884489296068.688</v>
      </c>
      <c r="AW279" s="190">
        <v>192941644616077.31</v>
      </c>
      <c r="AX279" s="190">
        <v>370015877166944.5</v>
      </c>
      <c r="AY279" s="203">
        <v>2.9</v>
      </c>
      <c r="AZ279" s="239">
        <v>77.400000000000006</v>
      </c>
      <c r="BA279" s="203">
        <v>2004</v>
      </c>
      <c r="BB279" s="204">
        <v>39296</v>
      </c>
      <c r="BC279" s="203" t="s">
        <v>1432</v>
      </c>
    </row>
    <row r="280" spans="1:55" x14ac:dyDescent="0.2">
      <c r="A280" s="184" t="s">
        <v>711</v>
      </c>
      <c r="B280" s="184" t="s">
        <v>1430</v>
      </c>
      <c r="C280" s="184" t="s">
        <v>769</v>
      </c>
      <c r="D280" s="185" t="s">
        <v>1043</v>
      </c>
      <c r="E280" s="184" t="s">
        <v>1431</v>
      </c>
      <c r="F280" s="184" t="s">
        <v>1431</v>
      </c>
      <c r="G280" s="186">
        <f>IF(ALECA_Input!$F$13="ICAO (3000ft)",'Aircraft Calc'!C$211,'Aircraft Calc'!G$211)</f>
        <v>0.7</v>
      </c>
      <c r="H280" s="186">
        <f>IF(ALECA_Input!$F$13="ICAO (3000ft)",'Aircraft Calc'!D$211,'Aircraft Calc'!H$211)</f>
        <v>2.2000000000000002</v>
      </c>
      <c r="I280" s="186">
        <f>IF(ALECA_Input!$F$13="ICAO (3000ft)",'Aircraft Calc'!E$211,'Aircraft Calc'!I$211)</f>
        <v>4</v>
      </c>
      <c r="J280" s="189">
        <v>1</v>
      </c>
      <c r="K280" s="187">
        <f t="shared" si="61"/>
        <v>190.18200000000002</v>
      </c>
      <c r="L280" s="187">
        <f t="shared" si="62"/>
        <v>2.8290554999999999</v>
      </c>
      <c r="M280" s="187">
        <f t="shared" si="63"/>
        <v>8.6314200000000008E-3</v>
      </c>
      <c r="N280" s="187">
        <f t="shared" si="64"/>
        <v>0.25343544000000001</v>
      </c>
      <c r="O280" s="187">
        <f t="shared" si="65"/>
        <v>1.3661378399256663E-2</v>
      </c>
      <c r="P280" s="188">
        <f t="shared" si="66"/>
        <v>3.4244806834128984E+16</v>
      </c>
      <c r="Q280" s="187">
        <f t="shared" si="67"/>
        <v>5279.9999999999991</v>
      </c>
      <c r="R280" s="219">
        <f t="shared" si="68"/>
        <v>19.6416</v>
      </c>
      <c r="S280" s="219">
        <f t="shared" si="69"/>
        <v>22.703999999999997</v>
      </c>
      <c r="T280" s="219">
        <f t="shared" si="70"/>
        <v>237.23039999999997</v>
      </c>
      <c r="U280" s="219">
        <f t="shared" si="71"/>
        <v>0.43480727434186556</v>
      </c>
      <c r="V280" s="188">
        <f t="shared" si="72"/>
        <v>1827307571350225</v>
      </c>
      <c r="W280" s="323">
        <v>0.871</v>
      </c>
      <c r="X280" s="323">
        <v>0.72</v>
      </c>
      <c r="Y280" s="323">
        <v>0.24399999999999999</v>
      </c>
      <c r="Z280" s="323">
        <v>8.7999999999999995E-2</v>
      </c>
      <c r="AA280" s="323">
        <v>20.45</v>
      </c>
      <c r="AB280" s="323">
        <v>16.88</v>
      </c>
      <c r="AC280" s="323">
        <v>8.14</v>
      </c>
      <c r="AD280" s="323">
        <v>3.72</v>
      </c>
      <c r="AE280" s="323">
        <v>0.01</v>
      </c>
      <c r="AF280" s="323">
        <v>0.05</v>
      </c>
      <c r="AG280" s="323">
        <v>0.06</v>
      </c>
      <c r="AH280" s="323">
        <v>4.3</v>
      </c>
      <c r="AI280" s="323">
        <v>0.52</v>
      </c>
      <c r="AJ280" s="323">
        <v>0.39</v>
      </c>
      <c r="AK280" s="323">
        <v>3.37</v>
      </c>
      <c r="AL280" s="323">
        <v>44.93</v>
      </c>
      <c r="AM280" s="323">
        <v>4.7508304529075868E-2</v>
      </c>
      <c r="AN280" s="323">
        <v>1.8636542452538259E-2</v>
      </c>
      <c r="AO280" s="323">
        <v>4.0990537616935156E-3</v>
      </c>
      <c r="AP280" s="323">
        <v>6.8588625647472649E-3</v>
      </c>
      <c r="AQ280" s="323">
        <v>9.7618304529075869E-2</v>
      </c>
      <c r="AR280" s="323">
        <v>7.1396542452538264E-2</v>
      </c>
      <c r="AS280" s="323">
        <v>5.6434053761693512E-2</v>
      </c>
      <c r="AT280" s="323">
        <v>8.2349862564747273E-2</v>
      </c>
      <c r="AU280" s="190">
        <v>299643716558520.19</v>
      </c>
      <c r="AV280" s="190">
        <v>117544140958798.17</v>
      </c>
      <c r="AW280" s="190">
        <v>206827958303637.66</v>
      </c>
      <c r="AX280" s="190">
        <v>346080979422391.13</v>
      </c>
      <c r="AY280" s="203">
        <v>3.3</v>
      </c>
      <c r="AZ280" s="239">
        <v>83.7</v>
      </c>
      <c r="BA280" s="203">
        <v>2004</v>
      </c>
      <c r="BB280" s="204">
        <v>39296</v>
      </c>
      <c r="BC280" s="203" t="s">
        <v>1432</v>
      </c>
    </row>
    <row r="281" spans="1:55" x14ac:dyDescent="0.2">
      <c r="A281" s="184" t="s">
        <v>1434</v>
      </c>
      <c r="B281" s="184" t="s">
        <v>1433</v>
      </c>
      <c r="C281" s="184" t="s">
        <v>769</v>
      </c>
      <c r="D281" s="185" t="s">
        <v>1043</v>
      </c>
      <c r="E281" s="184" t="s">
        <v>1083</v>
      </c>
      <c r="F281" s="184" t="s">
        <v>1083</v>
      </c>
      <c r="G281" s="186">
        <f>IF(ALECA_Input!$F$13="ICAO (3000ft)",'Aircraft Calc'!C$211,'Aircraft Calc'!G$211)</f>
        <v>0.7</v>
      </c>
      <c r="H281" s="186">
        <f>IF(ALECA_Input!$F$13="ICAO (3000ft)",'Aircraft Calc'!D$211,'Aircraft Calc'!H$211)</f>
        <v>2.2000000000000002</v>
      </c>
      <c r="I281" s="186">
        <f>IF(ALECA_Input!$F$13="ICAO (3000ft)",'Aircraft Calc'!E$211,'Aircraft Calc'!I$211)</f>
        <v>4</v>
      </c>
      <c r="J281" s="189">
        <v>1</v>
      </c>
      <c r="K281" s="187">
        <f t="shared" si="61"/>
        <v>190.18200000000002</v>
      </c>
      <c r="L281" s="187">
        <f t="shared" si="62"/>
        <v>2.8290554999999999</v>
      </c>
      <c r="M281" s="187">
        <f t="shared" si="63"/>
        <v>8.6314200000000008E-3</v>
      </c>
      <c r="N281" s="187">
        <f t="shared" si="64"/>
        <v>0.25343544000000001</v>
      </c>
      <c r="O281" s="187">
        <f t="shared" si="65"/>
        <v>1.3661378399256663E-2</v>
      </c>
      <c r="P281" s="188">
        <f t="shared" si="66"/>
        <v>3.4244806834128984E+16</v>
      </c>
      <c r="Q281" s="187">
        <f t="shared" si="67"/>
        <v>5279.9999999999991</v>
      </c>
      <c r="R281" s="219">
        <f t="shared" si="68"/>
        <v>19.6416</v>
      </c>
      <c r="S281" s="219">
        <f t="shared" si="69"/>
        <v>22.703999999999997</v>
      </c>
      <c r="T281" s="219">
        <f t="shared" si="70"/>
        <v>237.23039999999997</v>
      </c>
      <c r="U281" s="219">
        <f t="shared" si="71"/>
        <v>0.43480727434186556</v>
      </c>
      <c r="V281" s="188">
        <f t="shared" si="72"/>
        <v>1827307571350225</v>
      </c>
      <c r="W281" s="323">
        <v>0.871</v>
      </c>
      <c r="X281" s="323">
        <v>0.72</v>
      </c>
      <c r="Y281" s="323">
        <v>0.24399999999999999</v>
      </c>
      <c r="Z281" s="323">
        <v>8.7999999999999995E-2</v>
      </c>
      <c r="AA281" s="323">
        <v>20.45</v>
      </c>
      <c r="AB281" s="323">
        <v>16.88</v>
      </c>
      <c r="AC281" s="323">
        <v>8.14</v>
      </c>
      <c r="AD281" s="323">
        <v>3.72</v>
      </c>
      <c r="AE281" s="323">
        <v>0.01</v>
      </c>
      <c r="AF281" s="323">
        <v>0.05</v>
      </c>
      <c r="AG281" s="323">
        <v>0.06</v>
      </c>
      <c r="AH281" s="323">
        <v>4.3</v>
      </c>
      <c r="AI281" s="323">
        <v>0.52</v>
      </c>
      <c r="AJ281" s="323">
        <v>0.39</v>
      </c>
      <c r="AK281" s="323">
        <v>3.37</v>
      </c>
      <c r="AL281" s="323">
        <v>44.93</v>
      </c>
      <c r="AM281" s="323">
        <v>4.7508304529075868E-2</v>
      </c>
      <c r="AN281" s="323">
        <v>1.8636542452538259E-2</v>
      </c>
      <c r="AO281" s="323">
        <v>4.0990537616935156E-3</v>
      </c>
      <c r="AP281" s="323">
        <v>6.8588625647472649E-3</v>
      </c>
      <c r="AQ281" s="323">
        <v>9.7618304529075869E-2</v>
      </c>
      <c r="AR281" s="323">
        <v>7.1396542452538264E-2</v>
      </c>
      <c r="AS281" s="323">
        <v>5.6434053761693512E-2</v>
      </c>
      <c r="AT281" s="323">
        <v>8.2349862564747273E-2</v>
      </c>
      <c r="AU281" s="190">
        <v>299643716558520.19</v>
      </c>
      <c r="AV281" s="190">
        <v>117544140958798.17</v>
      </c>
      <c r="AW281" s="190">
        <v>206827958303637.66</v>
      </c>
      <c r="AX281" s="190">
        <v>346080979422391.13</v>
      </c>
      <c r="AY281" s="203">
        <v>3.3</v>
      </c>
      <c r="AZ281" s="239">
        <v>83.7</v>
      </c>
      <c r="BA281" s="203">
        <v>2004</v>
      </c>
      <c r="BB281" s="204">
        <v>39294</v>
      </c>
      <c r="BC281" s="203" t="s">
        <v>1330</v>
      </c>
    </row>
    <row r="282" spans="1:55" x14ac:dyDescent="0.2">
      <c r="A282" s="184" t="s">
        <v>1436</v>
      </c>
      <c r="B282" s="184" t="s">
        <v>1435</v>
      </c>
      <c r="C282" s="184" t="s">
        <v>769</v>
      </c>
      <c r="D282" s="185" t="s">
        <v>1043</v>
      </c>
      <c r="E282" s="184" t="s">
        <v>1437</v>
      </c>
      <c r="F282" s="184" t="s">
        <v>1437</v>
      </c>
      <c r="G282" s="186">
        <f>IF(ALECA_Input!$F$13="ICAO (3000ft)",'Aircraft Calc'!C$211,'Aircraft Calc'!G$211)</f>
        <v>0.7</v>
      </c>
      <c r="H282" s="186">
        <f>IF(ALECA_Input!$F$13="ICAO (3000ft)",'Aircraft Calc'!D$211,'Aircraft Calc'!H$211)</f>
        <v>2.2000000000000002</v>
      </c>
      <c r="I282" s="186">
        <f>IF(ALECA_Input!$F$13="ICAO (3000ft)",'Aircraft Calc'!E$211,'Aircraft Calc'!I$211)</f>
        <v>4</v>
      </c>
      <c r="J282" s="189">
        <v>1</v>
      </c>
      <c r="K282" s="187">
        <f t="shared" si="61"/>
        <v>143.52600000000001</v>
      </c>
      <c r="L282" s="187">
        <f t="shared" si="62"/>
        <v>1.8177604200000002</v>
      </c>
      <c r="M282" s="187">
        <f t="shared" si="63"/>
        <v>4.6273199999999999E-3</v>
      </c>
      <c r="N282" s="187">
        <f t="shared" si="64"/>
        <v>0.24243551999999999</v>
      </c>
      <c r="O282" s="187">
        <f t="shared" si="65"/>
        <v>1.0315443478800935E-2</v>
      </c>
      <c r="P282" s="188">
        <f t="shared" si="66"/>
        <v>2.3857586684149292E+16</v>
      </c>
      <c r="Q282" s="187">
        <f t="shared" si="67"/>
        <v>3900.0000000000005</v>
      </c>
      <c r="R282" s="219">
        <f t="shared" si="68"/>
        <v>18.135000000000002</v>
      </c>
      <c r="S282" s="219">
        <f t="shared" si="69"/>
        <v>0.50700000000000012</v>
      </c>
      <c r="T282" s="219">
        <f t="shared" si="70"/>
        <v>69.615000000000009</v>
      </c>
      <c r="U282" s="219">
        <f t="shared" si="71"/>
        <v>0.2072518471279465</v>
      </c>
      <c r="V282" s="188">
        <f t="shared" si="72"/>
        <v>665012398810046.88</v>
      </c>
      <c r="W282" s="323">
        <v>0.66500000000000004</v>
      </c>
      <c r="X282" s="323">
        <v>0.54300000000000004</v>
      </c>
      <c r="Y282" s="323">
        <v>0.183</v>
      </c>
      <c r="Z282" s="323">
        <v>6.5000000000000002E-2</v>
      </c>
      <c r="AA282" s="323">
        <v>15.09</v>
      </c>
      <c r="AB282" s="323">
        <v>12.82</v>
      </c>
      <c r="AC282" s="323">
        <v>10.87</v>
      </c>
      <c r="AD282" s="323">
        <v>4.6500000000000004</v>
      </c>
      <c r="AE282" s="323">
        <v>0.02</v>
      </c>
      <c r="AF282" s="323">
        <v>0.02</v>
      </c>
      <c r="AG282" s="323">
        <v>0.06</v>
      </c>
      <c r="AH282" s="323">
        <v>0.13</v>
      </c>
      <c r="AI282" s="323">
        <v>0.66</v>
      </c>
      <c r="AJ282" s="323">
        <v>0.56999999999999995</v>
      </c>
      <c r="AK282" s="323">
        <v>4.17</v>
      </c>
      <c r="AL282" s="323">
        <v>17.850000000000001</v>
      </c>
      <c r="AM282" s="323">
        <v>5.9835554540719794E-2</v>
      </c>
      <c r="AN282" s="323">
        <v>1.6452805109684127E-2</v>
      </c>
      <c r="AO282" s="323">
        <v>2.6529075919150928E-3</v>
      </c>
      <c r="AP282" s="323">
        <v>3.3793992635760151E-3</v>
      </c>
      <c r="AQ282" s="323">
        <v>0.11109555454071979</v>
      </c>
      <c r="AR282" s="323">
        <v>6.6932805109684135E-2</v>
      </c>
      <c r="AS282" s="323">
        <v>5.4987907591915103E-2</v>
      </c>
      <c r="AT282" s="323">
        <v>5.3141499263576024E-2</v>
      </c>
      <c r="AU282" s="190">
        <v>377393976119443.81</v>
      </c>
      <c r="AV282" s="190">
        <v>103770903208333.5</v>
      </c>
      <c r="AW282" s="190">
        <v>133859054480253.08</v>
      </c>
      <c r="AX282" s="190">
        <v>170515999694883.81</v>
      </c>
      <c r="AY282" s="203">
        <v>2.2999999999999998</v>
      </c>
      <c r="AZ282" s="239">
        <v>60.62</v>
      </c>
      <c r="BA282" s="203">
        <v>2002</v>
      </c>
      <c r="BB282" s="204">
        <v>39294</v>
      </c>
      <c r="BC282" s="203" t="s">
        <v>3090</v>
      </c>
    </row>
    <row r="283" spans="1:55" x14ac:dyDescent="0.2">
      <c r="A283" s="184" t="s">
        <v>1439</v>
      </c>
      <c r="B283" s="184" t="s">
        <v>1438</v>
      </c>
      <c r="C283" s="184" t="s">
        <v>769</v>
      </c>
      <c r="D283" s="185" t="s">
        <v>1043</v>
      </c>
      <c r="E283" s="184" t="s">
        <v>1440</v>
      </c>
      <c r="F283" s="184" t="s">
        <v>1440</v>
      </c>
      <c r="G283" s="186">
        <f>IF(ALECA_Input!$F$13="ICAO (3000ft)",'Aircraft Calc'!C$211,'Aircraft Calc'!G$211)</f>
        <v>0.7</v>
      </c>
      <c r="H283" s="186">
        <f>IF(ALECA_Input!$F$13="ICAO (3000ft)",'Aircraft Calc'!D$211,'Aircraft Calc'!H$211)</f>
        <v>2.2000000000000002</v>
      </c>
      <c r="I283" s="186">
        <f>IF(ALECA_Input!$F$13="ICAO (3000ft)",'Aircraft Calc'!E$211,'Aircraft Calc'!I$211)</f>
        <v>4</v>
      </c>
      <c r="J283" s="189">
        <v>1</v>
      </c>
      <c r="K283" s="187">
        <f t="shared" si="61"/>
        <v>148.458</v>
      </c>
      <c r="L283" s="187">
        <f t="shared" si="62"/>
        <v>1.9351204200000001</v>
      </c>
      <c r="M283" s="187">
        <f t="shared" si="63"/>
        <v>4.7739599999999998E-3</v>
      </c>
      <c r="N283" s="187">
        <f t="shared" si="64"/>
        <v>0.24570173999999997</v>
      </c>
      <c r="O283" s="187">
        <f t="shared" si="65"/>
        <v>1.1976210165146117E-2</v>
      </c>
      <c r="P283" s="188">
        <f t="shared" si="66"/>
        <v>3.288320773180878E+16</v>
      </c>
      <c r="Q283" s="187">
        <f t="shared" si="67"/>
        <v>3960</v>
      </c>
      <c r="R283" s="219">
        <f t="shared" si="68"/>
        <v>18.612000000000002</v>
      </c>
      <c r="S283" s="219">
        <f t="shared" si="69"/>
        <v>0.51480000000000004</v>
      </c>
      <c r="T283" s="219">
        <f t="shared" si="70"/>
        <v>68.507999999999996</v>
      </c>
      <c r="U283" s="219">
        <f t="shared" si="71"/>
        <v>0.21044033708376106</v>
      </c>
      <c r="V283" s="188">
        <f t="shared" si="72"/>
        <v>675243358791739.88</v>
      </c>
      <c r="W283" s="323">
        <v>0.69099999999999995</v>
      </c>
      <c r="X283" s="323">
        <v>0.56299999999999994</v>
      </c>
      <c r="Y283" s="323">
        <v>0.188</v>
      </c>
      <c r="Z283" s="323">
        <v>6.6000000000000003E-2</v>
      </c>
      <c r="AA283" s="323">
        <v>15.81</v>
      </c>
      <c r="AB283" s="323">
        <v>13.15</v>
      </c>
      <c r="AC283" s="323">
        <v>11.06</v>
      </c>
      <c r="AD283" s="323">
        <v>4.7</v>
      </c>
      <c r="AE283" s="323">
        <v>0.02</v>
      </c>
      <c r="AF283" s="323">
        <v>0.02</v>
      </c>
      <c r="AG283" s="323">
        <v>0.06</v>
      </c>
      <c r="AH283" s="323">
        <v>0.13</v>
      </c>
      <c r="AI283" s="323">
        <v>0.71</v>
      </c>
      <c r="AJ283" s="323">
        <v>0.56999999999999995</v>
      </c>
      <c r="AK283" s="323">
        <v>4.05</v>
      </c>
      <c r="AL283" s="323">
        <v>17.3</v>
      </c>
      <c r="AM283" s="323">
        <v>7.8777778347281099E-2</v>
      </c>
      <c r="AN283" s="323">
        <v>2.6504759290114064E-2</v>
      </c>
      <c r="AO283" s="323">
        <v>2.6529075919150928E-3</v>
      </c>
      <c r="AP283" s="323">
        <v>3.3793992635760151E-3</v>
      </c>
      <c r="AQ283" s="323">
        <v>0.13003777834728109</v>
      </c>
      <c r="AR283" s="323">
        <v>7.6984759290114058E-2</v>
      </c>
      <c r="AS283" s="323">
        <v>5.4987907591915103E-2</v>
      </c>
      <c r="AT283" s="323">
        <v>5.3141499263576024E-2</v>
      </c>
      <c r="AU283" s="190">
        <v>496866106256345.44</v>
      </c>
      <c r="AV283" s="190">
        <v>167170448596373.69</v>
      </c>
      <c r="AW283" s="190">
        <v>133859054480253.08</v>
      </c>
      <c r="AX283" s="190">
        <v>170515999694883.81</v>
      </c>
      <c r="AY283" s="203">
        <v>2.4</v>
      </c>
      <c r="AZ283" s="239">
        <v>62.49</v>
      </c>
      <c r="BA283" s="203">
        <v>2002</v>
      </c>
      <c r="BB283" s="204">
        <v>39296</v>
      </c>
      <c r="BC283" s="203" t="s">
        <v>3090</v>
      </c>
    </row>
    <row r="284" spans="1:55" x14ac:dyDescent="0.2">
      <c r="A284" s="184" t="s">
        <v>1442</v>
      </c>
      <c r="B284" s="184" t="s">
        <v>1441</v>
      </c>
      <c r="C284" s="184" t="s">
        <v>769</v>
      </c>
      <c r="D284" s="185" t="s">
        <v>1043</v>
      </c>
      <c r="E284" s="184" t="s">
        <v>1443</v>
      </c>
      <c r="F284" s="184" t="s">
        <v>1444</v>
      </c>
      <c r="G284" s="186">
        <f>IF(ALECA_Input!$F$13="ICAO (3000ft)",'Aircraft Calc'!C$211,'Aircraft Calc'!G$211)</f>
        <v>0.7</v>
      </c>
      <c r="H284" s="186">
        <f>IF(ALECA_Input!$F$13="ICAO (3000ft)",'Aircraft Calc'!D$211,'Aircraft Calc'!H$211)</f>
        <v>2.2000000000000002</v>
      </c>
      <c r="I284" s="186">
        <f>IF(ALECA_Input!$F$13="ICAO (3000ft)",'Aircraft Calc'!E$211,'Aircraft Calc'!I$211)</f>
        <v>4</v>
      </c>
      <c r="J284" s="189">
        <v>1</v>
      </c>
      <c r="K284" s="187">
        <f t="shared" si="61"/>
        <v>507.01799999999997</v>
      </c>
      <c r="L284" s="187">
        <f t="shared" si="62"/>
        <v>12.278358000000001</v>
      </c>
      <c r="M284" s="187">
        <f t="shared" si="63"/>
        <v>0.39121680000000003</v>
      </c>
      <c r="N284" s="187">
        <f t="shared" si="64"/>
        <v>0.97881299999999982</v>
      </c>
      <c r="O284" s="187">
        <f t="shared" si="65"/>
        <v>6.511669840420152E-2</v>
      </c>
      <c r="P284" s="188">
        <f t="shared" si="66"/>
        <v>2.697670800662679E+17</v>
      </c>
      <c r="Q284" s="187">
        <f t="shared" si="67"/>
        <v>12719.999999999998</v>
      </c>
      <c r="R284" s="219">
        <f t="shared" si="68"/>
        <v>44.519999999999996</v>
      </c>
      <c r="S284" s="219">
        <f t="shared" si="69"/>
        <v>292.55999999999995</v>
      </c>
      <c r="T284" s="219">
        <f t="shared" si="70"/>
        <v>792.45600000000002</v>
      </c>
      <c r="U284" s="219">
        <f t="shared" si="71"/>
        <v>3.4170283010840987</v>
      </c>
      <c r="V284" s="188">
        <f t="shared" si="72"/>
        <v>4.9910625311838944E+16</v>
      </c>
      <c r="W284" s="323">
        <v>2.379</v>
      </c>
      <c r="X284" s="323">
        <v>1.915</v>
      </c>
      <c r="Y284" s="323">
        <v>0.64300000000000002</v>
      </c>
      <c r="Z284" s="323">
        <v>0.21199999999999999</v>
      </c>
      <c r="AA284" s="323">
        <v>35</v>
      </c>
      <c r="AB284" s="323">
        <v>29</v>
      </c>
      <c r="AC284" s="323">
        <v>9.4</v>
      </c>
      <c r="AD284" s="323">
        <v>3.5</v>
      </c>
      <c r="AE284" s="323">
        <v>0.6</v>
      </c>
      <c r="AF284" s="323">
        <v>0.70000000000000007</v>
      </c>
      <c r="AG284" s="323">
        <v>1</v>
      </c>
      <c r="AH284" s="323">
        <v>23</v>
      </c>
      <c r="AI284" s="323">
        <v>0.5</v>
      </c>
      <c r="AJ284" s="323">
        <v>0.5</v>
      </c>
      <c r="AK284" s="323">
        <v>5.2</v>
      </c>
      <c r="AL284" s="323">
        <v>62.300000000000004</v>
      </c>
      <c r="AM284" s="323">
        <v>2.7811746407652594E-2</v>
      </c>
      <c r="AN284" s="323">
        <v>1.5789692914712335E-2</v>
      </c>
      <c r="AO284" s="323">
        <v>2.916113576763028E-2</v>
      </c>
      <c r="AP284" s="323">
        <v>7.7764300399693342E-2</v>
      </c>
      <c r="AQ284" s="323">
        <v>0.14577174640765261</v>
      </c>
      <c r="AR284" s="323">
        <v>0.11794969291471233</v>
      </c>
      <c r="AS284" s="323">
        <v>0.13437113576763027</v>
      </c>
      <c r="AT284" s="323">
        <v>0.26863430039969333</v>
      </c>
      <c r="AU284" s="190">
        <v>175413859538426.31</v>
      </c>
      <c r="AV284" s="190">
        <v>99588531209033.469</v>
      </c>
      <c r="AW284" s="190">
        <v>1471397674506790.8</v>
      </c>
      <c r="AX284" s="190">
        <v>3923791298100546.5</v>
      </c>
      <c r="AY284" s="203">
        <v>27.2</v>
      </c>
      <c r="AZ284" s="239">
        <v>224.20000000000002</v>
      </c>
      <c r="BA284" s="203">
        <v>1979</v>
      </c>
      <c r="BB284" s="204">
        <v>39296</v>
      </c>
      <c r="BC284" s="203" t="s">
        <v>741</v>
      </c>
    </row>
    <row r="285" spans="1:55" x14ac:dyDescent="0.2">
      <c r="A285" s="184" t="s">
        <v>1446</v>
      </c>
      <c r="B285" s="184" t="s">
        <v>1445</v>
      </c>
      <c r="C285" s="184" t="s">
        <v>769</v>
      </c>
      <c r="D285" s="185" t="s">
        <v>1043</v>
      </c>
      <c r="E285" s="184" t="s">
        <v>1447</v>
      </c>
      <c r="F285" s="184" t="s">
        <v>1447</v>
      </c>
      <c r="G285" s="186">
        <f>IF(ALECA_Input!$F$13="ICAO (3000ft)",'Aircraft Calc'!C$211,'Aircraft Calc'!G$211)</f>
        <v>0.7</v>
      </c>
      <c r="H285" s="186">
        <f>IF(ALECA_Input!$F$13="ICAO (3000ft)",'Aircraft Calc'!D$211,'Aircraft Calc'!H$211)</f>
        <v>2.2000000000000002</v>
      </c>
      <c r="I285" s="186">
        <f>IF(ALECA_Input!$F$13="ICAO (3000ft)",'Aircraft Calc'!E$211,'Aircraft Calc'!I$211)</f>
        <v>4</v>
      </c>
      <c r="J285" s="189">
        <v>1</v>
      </c>
      <c r="K285" s="187">
        <f t="shared" si="61"/>
        <v>507.01799999999997</v>
      </c>
      <c r="L285" s="187">
        <f t="shared" si="62"/>
        <v>12.278358000000001</v>
      </c>
      <c r="M285" s="187">
        <f t="shared" si="63"/>
        <v>0.39121680000000003</v>
      </c>
      <c r="N285" s="187">
        <f t="shared" si="64"/>
        <v>0.97881299999999982</v>
      </c>
      <c r="O285" s="187">
        <f t="shared" si="65"/>
        <v>6.511669840420152E-2</v>
      </c>
      <c r="P285" s="188">
        <f t="shared" si="66"/>
        <v>2.697670800662679E+17</v>
      </c>
      <c r="Q285" s="187">
        <f t="shared" si="67"/>
        <v>12719.999999999998</v>
      </c>
      <c r="R285" s="219">
        <f t="shared" si="68"/>
        <v>44.519999999999996</v>
      </c>
      <c r="S285" s="219">
        <f t="shared" si="69"/>
        <v>292.55999999999995</v>
      </c>
      <c r="T285" s="219">
        <f t="shared" si="70"/>
        <v>792.45600000000002</v>
      </c>
      <c r="U285" s="219">
        <f t="shared" si="71"/>
        <v>3.4170283010840987</v>
      </c>
      <c r="V285" s="188">
        <f t="shared" si="72"/>
        <v>4.9910625311838944E+16</v>
      </c>
      <c r="W285" s="323">
        <v>2.379</v>
      </c>
      <c r="X285" s="323">
        <v>1.915</v>
      </c>
      <c r="Y285" s="323">
        <v>0.64300000000000002</v>
      </c>
      <c r="Z285" s="323">
        <v>0.21199999999999999</v>
      </c>
      <c r="AA285" s="323">
        <v>35</v>
      </c>
      <c r="AB285" s="323">
        <v>29</v>
      </c>
      <c r="AC285" s="323">
        <v>9.4</v>
      </c>
      <c r="AD285" s="323">
        <v>3.5</v>
      </c>
      <c r="AE285" s="323">
        <v>0.6</v>
      </c>
      <c r="AF285" s="323">
        <v>0.70000000000000007</v>
      </c>
      <c r="AG285" s="323">
        <v>1</v>
      </c>
      <c r="AH285" s="323">
        <v>23</v>
      </c>
      <c r="AI285" s="323">
        <v>0.5</v>
      </c>
      <c r="AJ285" s="323">
        <v>0.5</v>
      </c>
      <c r="AK285" s="323">
        <v>5.2</v>
      </c>
      <c r="AL285" s="323">
        <v>62.300000000000004</v>
      </c>
      <c r="AM285" s="323">
        <v>2.7811746407652594E-2</v>
      </c>
      <c r="AN285" s="323">
        <v>1.5789692914712335E-2</v>
      </c>
      <c r="AO285" s="323">
        <v>2.916113576763028E-2</v>
      </c>
      <c r="AP285" s="323">
        <v>7.7764300399693342E-2</v>
      </c>
      <c r="AQ285" s="323">
        <v>0.14577174640765261</v>
      </c>
      <c r="AR285" s="323">
        <v>0.11794969291471233</v>
      </c>
      <c r="AS285" s="323">
        <v>0.13437113576763027</v>
      </c>
      <c r="AT285" s="323">
        <v>0.26863430039969333</v>
      </c>
      <c r="AU285" s="190">
        <v>175413859538426.31</v>
      </c>
      <c r="AV285" s="190">
        <v>99588531209033.469</v>
      </c>
      <c r="AW285" s="190">
        <v>1471397674506790.8</v>
      </c>
      <c r="AX285" s="190">
        <v>3923791298100546.5</v>
      </c>
      <c r="AY285" s="203">
        <v>27.2</v>
      </c>
      <c r="AZ285" s="239">
        <v>224.20000000000002</v>
      </c>
      <c r="BA285" s="203">
        <v>1979</v>
      </c>
      <c r="BB285" s="204">
        <v>39296</v>
      </c>
      <c r="BC285" s="203" t="s">
        <v>741</v>
      </c>
    </row>
    <row r="286" spans="1:55" x14ac:dyDescent="0.2">
      <c r="A286" s="184" t="s">
        <v>1449</v>
      </c>
      <c r="B286" s="184" t="s">
        <v>1448</v>
      </c>
      <c r="C286" s="184" t="s">
        <v>769</v>
      </c>
      <c r="D286" s="185" t="s">
        <v>1043</v>
      </c>
      <c r="E286" s="184" t="s">
        <v>1450</v>
      </c>
      <c r="F286" s="184" t="s">
        <v>1451</v>
      </c>
      <c r="G286" s="186">
        <f>IF(ALECA_Input!$F$13="ICAO (3000ft)",'Aircraft Calc'!C$211,'Aircraft Calc'!G$211)</f>
        <v>0.7</v>
      </c>
      <c r="H286" s="186">
        <f>IF(ALECA_Input!$F$13="ICAO (3000ft)",'Aircraft Calc'!D$211,'Aircraft Calc'!H$211)</f>
        <v>2.2000000000000002</v>
      </c>
      <c r="I286" s="186">
        <f>IF(ALECA_Input!$F$13="ICAO (3000ft)",'Aircraft Calc'!E$211,'Aircraft Calc'!I$211)</f>
        <v>4</v>
      </c>
      <c r="J286" s="189">
        <v>1</v>
      </c>
      <c r="K286" s="187">
        <f t="shared" si="61"/>
        <v>523.55400000000009</v>
      </c>
      <c r="L286" s="187">
        <f t="shared" si="62"/>
        <v>13.039270200000001</v>
      </c>
      <c r="M286" s="187">
        <f t="shared" si="63"/>
        <v>0.40356240000000004</v>
      </c>
      <c r="N286" s="187">
        <f t="shared" si="64"/>
        <v>0.86369700000000005</v>
      </c>
      <c r="O286" s="187">
        <f t="shared" si="65"/>
        <v>6.7464702958205364E-2</v>
      </c>
      <c r="P286" s="188">
        <f t="shared" si="66"/>
        <v>2.6567149521734746E+17</v>
      </c>
      <c r="Q286" s="187">
        <f t="shared" si="67"/>
        <v>12900</v>
      </c>
      <c r="R286" s="219">
        <f t="shared" si="68"/>
        <v>46.440000000000005</v>
      </c>
      <c r="S286" s="219">
        <f t="shared" si="69"/>
        <v>281.22000000000003</v>
      </c>
      <c r="T286" s="219">
        <f t="shared" si="70"/>
        <v>797.22</v>
      </c>
      <c r="U286" s="219">
        <f t="shared" si="71"/>
        <v>3.3698708751560438</v>
      </c>
      <c r="V286" s="188">
        <f t="shared" si="72"/>
        <v>5.0616907745497048E+16</v>
      </c>
      <c r="W286" s="323">
        <v>2.4870000000000001</v>
      </c>
      <c r="X286" s="323">
        <v>1.9750000000000001</v>
      </c>
      <c r="Y286" s="323">
        <v>0.66</v>
      </c>
      <c r="Z286" s="323">
        <v>0.215</v>
      </c>
      <c r="AA286" s="323">
        <v>36.300000000000004</v>
      </c>
      <c r="AB286" s="323">
        <v>29.7</v>
      </c>
      <c r="AC286" s="323">
        <v>9.5</v>
      </c>
      <c r="AD286" s="323">
        <v>3.6</v>
      </c>
      <c r="AE286" s="323">
        <v>0.6</v>
      </c>
      <c r="AF286" s="323">
        <v>0.70000000000000007</v>
      </c>
      <c r="AG286" s="323">
        <v>1</v>
      </c>
      <c r="AH286" s="323">
        <v>21.8</v>
      </c>
      <c r="AI286" s="323">
        <v>0.5</v>
      </c>
      <c r="AJ286" s="323">
        <v>0.5</v>
      </c>
      <c r="AK286" s="323">
        <v>4.3</v>
      </c>
      <c r="AL286" s="323">
        <v>61.800000000000004</v>
      </c>
      <c r="AM286" s="323">
        <v>2.9804309786038437E-2</v>
      </c>
      <c r="AN286" s="323">
        <v>1.6902393035912087E-2</v>
      </c>
      <c r="AO286" s="323">
        <v>2.7306186107021544E-2</v>
      </c>
      <c r="AP286" s="323">
        <v>7.7764300399693342E-2</v>
      </c>
      <c r="AQ286" s="323">
        <v>0.14776430978603844</v>
      </c>
      <c r="AR286" s="323">
        <v>0.1190623930359121</v>
      </c>
      <c r="AS286" s="323">
        <v>0.13251618610702154</v>
      </c>
      <c r="AT286" s="323">
        <v>0.2612303003996933</v>
      </c>
      <c r="AU286" s="190">
        <v>187981327523155.72</v>
      </c>
      <c r="AV286" s="190">
        <v>106606537914100.27</v>
      </c>
      <c r="AW286" s="190">
        <v>1377801573219935.8</v>
      </c>
      <c r="AX286" s="190">
        <v>3923791298100546.5</v>
      </c>
      <c r="AY286" s="203">
        <v>27.1</v>
      </c>
      <c r="AZ286" s="239">
        <v>230.4</v>
      </c>
      <c r="BA286" s="203">
        <v>1979</v>
      </c>
      <c r="BB286" s="204">
        <v>35684</v>
      </c>
      <c r="BC286" s="203" t="s">
        <v>741</v>
      </c>
    </row>
    <row r="287" spans="1:55" x14ac:dyDescent="0.2">
      <c r="A287" s="184" t="s">
        <v>1449</v>
      </c>
      <c r="B287" s="184" t="s">
        <v>1452</v>
      </c>
      <c r="C287" s="184" t="s">
        <v>769</v>
      </c>
      <c r="D287" s="185" t="s">
        <v>1043</v>
      </c>
      <c r="E287" s="184" t="s">
        <v>1453</v>
      </c>
      <c r="F287" s="184" t="s">
        <v>1454</v>
      </c>
      <c r="G287" s="186">
        <f>IF(ALECA_Input!$F$13="ICAO (3000ft)",'Aircraft Calc'!C$211,'Aircraft Calc'!G$211)</f>
        <v>0.7</v>
      </c>
      <c r="H287" s="186">
        <f>IF(ALECA_Input!$F$13="ICAO (3000ft)",'Aircraft Calc'!D$211,'Aircraft Calc'!H$211)</f>
        <v>2.2000000000000002</v>
      </c>
      <c r="I287" s="186">
        <f>IF(ALECA_Input!$F$13="ICAO (3000ft)",'Aircraft Calc'!E$211,'Aircraft Calc'!I$211)</f>
        <v>4</v>
      </c>
      <c r="J287" s="189">
        <v>1</v>
      </c>
      <c r="K287" s="187">
        <f t="shared" si="61"/>
        <v>523.55400000000009</v>
      </c>
      <c r="L287" s="187">
        <f t="shared" si="62"/>
        <v>13.039270200000001</v>
      </c>
      <c r="M287" s="187">
        <f t="shared" si="63"/>
        <v>0.40356240000000004</v>
      </c>
      <c r="N287" s="187">
        <f t="shared" si="64"/>
        <v>0.86369700000000005</v>
      </c>
      <c r="O287" s="187">
        <f t="shared" si="65"/>
        <v>6.7464702958205364E-2</v>
      </c>
      <c r="P287" s="188">
        <f t="shared" si="66"/>
        <v>2.6567149521734746E+17</v>
      </c>
      <c r="Q287" s="187">
        <f t="shared" si="67"/>
        <v>12900</v>
      </c>
      <c r="R287" s="219">
        <f t="shared" si="68"/>
        <v>46.440000000000005</v>
      </c>
      <c r="S287" s="219">
        <f t="shared" si="69"/>
        <v>281.22000000000003</v>
      </c>
      <c r="T287" s="219">
        <f t="shared" si="70"/>
        <v>797.22</v>
      </c>
      <c r="U287" s="219">
        <f t="shared" si="71"/>
        <v>3.3698708751560438</v>
      </c>
      <c r="V287" s="188">
        <f t="shared" si="72"/>
        <v>5.0616907745497048E+16</v>
      </c>
      <c r="W287" s="323">
        <v>2.4870000000000001</v>
      </c>
      <c r="X287" s="323">
        <v>1.9750000000000001</v>
      </c>
      <c r="Y287" s="323">
        <v>0.66</v>
      </c>
      <c r="Z287" s="323">
        <v>0.215</v>
      </c>
      <c r="AA287" s="323">
        <v>36.300000000000004</v>
      </c>
      <c r="AB287" s="323">
        <v>29.7</v>
      </c>
      <c r="AC287" s="323">
        <v>9.5</v>
      </c>
      <c r="AD287" s="323">
        <v>3.6</v>
      </c>
      <c r="AE287" s="323">
        <v>0.6</v>
      </c>
      <c r="AF287" s="323">
        <v>0.70000000000000007</v>
      </c>
      <c r="AG287" s="323">
        <v>1</v>
      </c>
      <c r="AH287" s="323">
        <v>21.8</v>
      </c>
      <c r="AI287" s="323">
        <v>0.5</v>
      </c>
      <c r="AJ287" s="323">
        <v>0.5</v>
      </c>
      <c r="AK287" s="323">
        <v>4.3</v>
      </c>
      <c r="AL287" s="323">
        <v>61.800000000000004</v>
      </c>
      <c r="AM287" s="323">
        <v>2.9804309786038437E-2</v>
      </c>
      <c r="AN287" s="323">
        <v>1.6902393035912087E-2</v>
      </c>
      <c r="AO287" s="323">
        <v>2.7306186107021544E-2</v>
      </c>
      <c r="AP287" s="323">
        <v>7.7764300399693342E-2</v>
      </c>
      <c r="AQ287" s="323">
        <v>0.14776430978603844</v>
      </c>
      <c r="AR287" s="323">
        <v>0.1190623930359121</v>
      </c>
      <c r="AS287" s="323">
        <v>0.13251618610702154</v>
      </c>
      <c r="AT287" s="323">
        <v>0.2612303003996933</v>
      </c>
      <c r="AU287" s="190">
        <v>187981327523155.72</v>
      </c>
      <c r="AV287" s="190">
        <v>106606537914100.27</v>
      </c>
      <c r="AW287" s="190">
        <v>1377801573219935.8</v>
      </c>
      <c r="AX287" s="190">
        <v>3923791298100546.5</v>
      </c>
      <c r="AY287" s="203">
        <v>27.1</v>
      </c>
      <c r="AZ287" s="239">
        <v>230.4</v>
      </c>
      <c r="BA287" s="203">
        <v>1979</v>
      </c>
      <c r="BB287" s="204">
        <v>35684</v>
      </c>
      <c r="BC287" s="203" t="s">
        <v>716</v>
      </c>
    </row>
    <row r="288" spans="1:55" x14ac:dyDescent="0.2">
      <c r="A288" s="184" t="s">
        <v>1456</v>
      </c>
      <c r="B288" s="184" t="s">
        <v>1455</v>
      </c>
      <c r="C288" s="184" t="s">
        <v>769</v>
      </c>
      <c r="D288" s="185" t="s">
        <v>1043</v>
      </c>
      <c r="E288" s="184" t="s">
        <v>1457</v>
      </c>
      <c r="F288" s="184" t="s">
        <v>1458</v>
      </c>
      <c r="G288" s="186">
        <f>IF(ALECA_Input!$F$13="ICAO (3000ft)",'Aircraft Calc'!C$211,'Aircraft Calc'!G$211)</f>
        <v>0.7</v>
      </c>
      <c r="H288" s="186">
        <f>IF(ALECA_Input!$F$13="ICAO (3000ft)",'Aircraft Calc'!D$211,'Aircraft Calc'!H$211)</f>
        <v>2.2000000000000002</v>
      </c>
      <c r="I288" s="186">
        <f>IF(ALECA_Input!$F$13="ICAO (3000ft)",'Aircraft Calc'!E$211,'Aircraft Calc'!I$211)</f>
        <v>4</v>
      </c>
      <c r="J288" s="189">
        <v>1</v>
      </c>
      <c r="K288" s="187">
        <f t="shared" si="61"/>
        <v>523.55400000000009</v>
      </c>
      <c r="L288" s="187">
        <f t="shared" si="62"/>
        <v>13.039270200000001</v>
      </c>
      <c r="M288" s="187">
        <f t="shared" si="63"/>
        <v>0.40356240000000004</v>
      </c>
      <c r="N288" s="187">
        <f t="shared" si="64"/>
        <v>0.86369700000000005</v>
      </c>
      <c r="O288" s="187">
        <f t="shared" si="65"/>
        <v>6.7464702958205364E-2</v>
      </c>
      <c r="P288" s="188">
        <f t="shared" si="66"/>
        <v>2.6567149521734746E+17</v>
      </c>
      <c r="Q288" s="187">
        <f t="shared" si="67"/>
        <v>12900</v>
      </c>
      <c r="R288" s="219">
        <f t="shared" si="68"/>
        <v>46.440000000000005</v>
      </c>
      <c r="S288" s="219">
        <f t="shared" si="69"/>
        <v>281.22000000000003</v>
      </c>
      <c r="T288" s="219">
        <f t="shared" si="70"/>
        <v>797.22</v>
      </c>
      <c r="U288" s="219">
        <f t="shared" si="71"/>
        <v>3.3698708751560438</v>
      </c>
      <c r="V288" s="188">
        <f t="shared" si="72"/>
        <v>5.0616907745497048E+16</v>
      </c>
      <c r="W288" s="323">
        <v>2.4870000000000001</v>
      </c>
      <c r="X288" s="323">
        <v>1.9750000000000001</v>
      </c>
      <c r="Y288" s="323">
        <v>0.66</v>
      </c>
      <c r="Z288" s="323">
        <v>0.215</v>
      </c>
      <c r="AA288" s="323">
        <v>36.300000000000004</v>
      </c>
      <c r="AB288" s="323">
        <v>29.7</v>
      </c>
      <c r="AC288" s="323">
        <v>9.5</v>
      </c>
      <c r="AD288" s="323">
        <v>3.6</v>
      </c>
      <c r="AE288" s="323">
        <v>0.6</v>
      </c>
      <c r="AF288" s="323">
        <v>0.70000000000000007</v>
      </c>
      <c r="AG288" s="323">
        <v>1</v>
      </c>
      <c r="AH288" s="323">
        <v>21.8</v>
      </c>
      <c r="AI288" s="323">
        <v>0.5</v>
      </c>
      <c r="AJ288" s="323">
        <v>0.5</v>
      </c>
      <c r="AK288" s="323">
        <v>4.3</v>
      </c>
      <c r="AL288" s="323">
        <v>61.800000000000004</v>
      </c>
      <c r="AM288" s="323">
        <v>2.9804309786038437E-2</v>
      </c>
      <c r="AN288" s="323">
        <v>1.6902393035912087E-2</v>
      </c>
      <c r="AO288" s="323">
        <v>2.7306186107021544E-2</v>
      </c>
      <c r="AP288" s="323">
        <v>7.7764300399693342E-2</v>
      </c>
      <c r="AQ288" s="323">
        <v>0.14776430978603844</v>
      </c>
      <c r="AR288" s="323">
        <v>0.1190623930359121</v>
      </c>
      <c r="AS288" s="323">
        <v>0.13251618610702154</v>
      </c>
      <c r="AT288" s="323">
        <v>0.2612303003996933</v>
      </c>
      <c r="AU288" s="190">
        <v>187981327523155.72</v>
      </c>
      <c r="AV288" s="190">
        <v>106606537914100.27</v>
      </c>
      <c r="AW288" s="190">
        <v>1377801573219935.8</v>
      </c>
      <c r="AX288" s="190">
        <v>3923791298100546.5</v>
      </c>
      <c r="AY288" s="203">
        <v>27.1</v>
      </c>
      <c r="AZ288" s="239">
        <v>230.4</v>
      </c>
      <c r="BA288" s="203">
        <v>1979</v>
      </c>
      <c r="BB288" s="204">
        <v>39296</v>
      </c>
      <c r="BC288" s="203" t="s">
        <v>741</v>
      </c>
    </row>
    <row r="289" spans="1:55" x14ac:dyDescent="0.2">
      <c r="A289" s="184" t="s">
        <v>1460</v>
      </c>
      <c r="B289" s="184" t="s">
        <v>1459</v>
      </c>
      <c r="C289" s="184" t="s">
        <v>769</v>
      </c>
      <c r="D289" s="185" t="s">
        <v>1043</v>
      </c>
      <c r="E289" s="184" t="s">
        <v>1443</v>
      </c>
      <c r="F289" s="184" t="s">
        <v>1443</v>
      </c>
      <c r="G289" s="186">
        <f>IF(ALECA_Input!$F$13="ICAO (3000ft)",'Aircraft Calc'!C$211,'Aircraft Calc'!G$211)</f>
        <v>0.7</v>
      </c>
      <c r="H289" s="186">
        <f>IF(ALECA_Input!$F$13="ICAO (3000ft)",'Aircraft Calc'!D$211,'Aircraft Calc'!H$211)</f>
        <v>2.2000000000000002</v>
      </c>
      <c r="I289" s="186">
        <f>IF(ALECA_Input!$F$13="ICAO (3000ft)",'Aircraft Calc'!E$211,'Aircraft Calc'!I$211)</f>
        <v>4</v>
      </c>
      <c r="J289" s="189">
        <v>1</v>
      </c>
      <c r="K289" s="187">
        <f t="shared" si="61"/>
        <v>497.14200000000005</v>
      </c>
      <c r="L289" s="187">
        <f t="shared" si="62"/>
        <v>10.25182566</v>
      </c>
      <c r="M289" s="187">
        <f t="shared" si="63"/>
        <v>9.2675880000000002E-2</v>
      </c>
      <c r="N289" s="187">
        <f t="shared" si="64"/>
        <v>0.76982448000000014</v>
      </c>
      <c r="O289" s="187">
        <f t="shared" si="65"/>
        <v>5.8465333570058502E-2</v>
      </c>
      <c r="P289" s="188">
        <f t="shared" si="66"/>
        <v>2.5253275086410982E+17</v>
      </c>
      <c r="Q289" s="187">
        <f t="shared" si="67"/>
        <v>9780.0000000000018</v>
      </c>
      <c r="R289" s="219">
        <f t="shared" si="68"/>
        <v>33.252000000000002</v>
      </c>
      <c r="S289" s="219">
        <f t="shared" si="69"/>
        <v>26.601600000000005</v>
      </c>
      <c r="T289" s="219">
        <f t="shared" si="70"/>
        <v>235.11120000000003</v>
      </c>
      <c r="U289" s="219">
        <f t="shared" si="71"/>
        <v>0.76419165384445176</v>
      </c>
      <c r="V289" s="188">
        <f t="shared" si="72"/>
        <v>6117010880011981</v>
      </c>
      <c r="W289" s="323">
        <v>2.2810000000000001</v>
      </c>
      <c r="X289" s="323">
        <v>1.875</v>
      </c>
      <c r="Y289" s="323">
        <v>0.64100000000000001</v>
      </c>
      <c r="Z289" s="323">
        <v>0.16300000000000001</v>
      </c>
      <c r="AA289" s="323">
        <v>28.03</v>
      </c>
      <c r="AB289" s="323">
        <v>24.3</v>
      </c>
      <c r="AC289" s="323">
        <v>10.09</v>
      </c>
      <c r="AD289" s="323">
        <v>3.4</v>
      </c>
      <c r="AE289" s="323">
        <v>0.14000000000000001</v>
      </c>
      <c r="AF289" s="323">
        <v>0.14000000000000001</v>
      </c>
      <c r="AG289" s="323">
        <v>0.28999999999999998</v>
      </c>
      <c r="AH289" s="323">
        <v>2.72</v>
      </c>
      <c r="AI289" s="323">
        <v>0.44</v>
      </c>
      <c r="AJ289" s="323">
        <v>0.46</v>
      </c>
      <c r="AK289" s="323">
        <v>3.99</v>
      </c>
      <c r="AL289" s="323">
        <v>24.04</v>
      </c>
      <c r="AM289" s="323">
        <v>6.6683047817785904E-2</v>
      </c>
      <c r="AN289" s="323">
        <v>7.7784700461758338E-2</v>
      </c>
      <c r="AO289" s="323">
        <v>1.169950168183694E-2</v>
      </c>
      <c r="AP289" s="323">
        <v>1.2395805914565596E-2</v>
      </c>
      <c r="AQ289" s="323">
        <v>0.1317430478177859</v>
      </c>
      <c r="AR289" s="323">
        <v>0.13738470046175832</v>
      </c>
      <c r="AS289" s="323">
        <v>7.6972001681836946E-2</v>
      </c>
      <c r="AT289" s="323">
        <v>7.8138205914565606E-2</v>
      </c>
      <c r="AU289" s="190">
        <v>420582390334348.69</v>
      </c>
      <c r="AV289" s="190">
        <v>490602579249861.81</v>
      </c>
      <c r="AW289" s="190">
        <v>590327472315118</v>
      </c>
      <c r="AX289" s="190">
        <v>625461235175049.13</v>
      </c>
      <c r="AY289" s="203">
        <v>11.1</v>
      </c>
      <c r="AZ289" s="239">
        <v>224.2</v>
      </c>
      <c r="BA289" s="203">
        <v>1987</v>
      </c>
      <c r="BB289" s="204">
        <v>39296</v>
      </c>
      <c r="BC289" s="203" t="s">
        <v>1415</v>
      </c>
    </row>
    <row r="290" spans="1:55" x14ac:dyDescent="0.2">
      <c r="A290" s="184" t="s">
        <v>651</v>
      </c>
      <c r="B290" s="184" t="s">
        <v>1461</v>
      </c>
      <c r="C290" s="184" t="s">
        <v>769</v>
      </c>
      <c r="D290" s="185" t="s">
        <v>1043</v>
      </c>
      <c r="E290" s="184" t="s">
        <v>210</v>
      </c>
      <c r="F290" s="184" t="s">
        <v>1462</v>
      </c>
      <c r="G290" s="186">
        <f>IF(ALECA_Input!$F$13="ICAO (3000ft)",'Aircraft Calc'!C$211,'Aircraft Calc'!G$211)</f>
        <v>0.7</v>
      </c>
      <c r="H290" s="186">
        <f>IF(ALECA_Input!$F$13="ICAO (3000ft)",'Aircraft Calc'!D$211,'Aircraft Calc'!H$211)</f>
        <v>2.2000000000000002</v>
      </c>
      <c r="I290" s="186">
        <f>IF(ALECA_Input!$F$13="ICAO (3000ft)",'Aircraft Calc'!E$211,'Aircraft Calc'!I$211)</f>
        <v>4</v>
      </c>
      <c r="J290" s="189">
        <v>1</v>
      </c>
      <c r="K290" s="187">
        <f t="shared" si="61"/>
        <v>474.63</v>
      </c>
      <c r="L290" s="187">
        <f t="shared" si="62"/>
        <v>10.270626000000002</v>
      </c>
      <c r="M290" s="187">
        <f t="shared" si="63"/>
        <v>0.16421070000000001</v>
      </c>
      <c r="N290" s="187">
        <f t="shared" si="64"/>
        <v>0.80828400000000011</v>
      </c>
      <c r="O290" s="187">
        <f t="shared" si="65"/>
        <v>6.011442749515649E-2</v>
      </c>
      <c r="P290" s="188">
        <f t="shared" si="66"/>
        <v>2.6180266087323226E+17</v>
      </c>
      <c r="Q290" s="187">
        <f t="shared" si="67"/>
        <v>9000</v>
      </c>
      <c r="R290" s="219">
        <f t="shared" si="68"/>
        <v>30.599999999999998</v>
      </c>
      <c r="S290" s="219">
        <f t="shared" si="69"/>
        <v>56.61</v>
      </c>
      <c r="T290" s="219">
        <f t="shared" si="70"/>
        <v>253.79999999999998</v>
      </c>
      <c r="U290" s="219">
        <f t="shared" si="71"/>
        <v>0.97590677186962571</v>
      </c>
      <c r="V290" s="188">
        <f t="shared" si="72"/>
        <v>9384238721948610</v>
      </c>
      <c r="W290" s="323">
        <v>2.145</v>
      </c>
      <c r="X290" s="323">
        <v>1.7949999999999999</v>
      </c>
      <c r="Y290" s="323">
        <v>0.61499999999999999</v>
      </c>
      <c r="Z290" s="323">
        <v>0.15</v>
      </c>
      <c r="AA290" s="323">
        <v>29.8</v>
      </c>
      <c r="AB290" s="323">
        <v>25.6</v>
      </c>
      <c r="AC290" s="323">
        <v>10.3</v>
      </c>
      <c r="AD290" s="323">
        <v>3.4</v>
      </c>
      <c r="AE290" s="323">
        <v>0.28999999999999998</v>
      </c>
      <c r="AF290" s="323">
        <v>0.28999999999999998</v>
      </c>
      <c r="AG290" s="323">
        <v>0.47000000000000003</v>
      </c>
      <c r="AH290" s="323">
        <v>6.29</v>
      </c>
      <c r="AI290" s="323">
        <v>1</v>
      </c>
      <c r="AJ290" s="323">
        <v>1.1000000000000001</v>
      </c>
      <c r="AK290" s="323">
        <v>3.1</v>
      </c>
      <c r="AL290" s="323">
        <v>28.2</v>
      </c>
      <c r="AM290" s="323">
        <v>6.9686754702501755E-2</v>
      </c>
      <c r="AN290" s="323">
        <v>6.7845071920318384E-2</v>
      </c>
      <c r="AO290" s="323">
        <v>1.6222340943142739E-2</v>
      </c>
      <c r="AP290" s="323">
        <v>2.0664785763291747E-2</v>
      </c>
      <c r="AQ290" s="323">
        <v>0.15199675470250176</v>
      </c>
      <c r="AR290" s="323">
        <v>0.13884507192031839</v>
      </c>
      <c r="AS290" s="323">
        <v>9.1619840943142739E-2</v>
      </c>
      <c r="AT290" s="323">
        <v>0.10843408576329175</v>
      </c>
      <c r="AU290" s="190">
        <v>439527328557472</v>
      </c>
      <c r="AV290" s="190">
        <v>427911492567418.5</v>
      </c>
      <c r="AW290" s="190">
        <v>818538582619007.25</v>
      </c>
      <c r="AX290" s="190">
        <v>1042693191327623.3</v>
      </c>
      <c r="AY290" s="203">
        <v>11.1</v>
      </c>
      <c r="AZ290" s="239">
        <v>208.8</v>
      </c>
      <c r="BA290" s="203">
        <v>1983</v>
      </c>
      <c r="BB290" s="204">
        <v>39296</v>
      </c>
      <c r="BC290" s="203" t="s">
        <v>741</v>
      </c>
    </row>
    <row r="291" spans="1:55" x14ac:dyDescent="0.2">
      <c r="A291" s="184" t="s">
        <v>1464</v>
      </c>
      <c r="B291" s="184" t="s">
        <v>1463</v>
      </c>
      <c r="C291" s="184" t="s">
        <v>769</v>
      </c>
      <c r="D291" s="185" t="s">
        <v>1043</v>
      </c>
      <c r="E291" s="184" t="s">
        <v>1465</v>
      </c>
      <c r="F291" s="184" t="s">
        <v>1465</v>
      </c>
      <c r="G291" s="186">
        <f>IF(ALECA_Input!$F$13="ICAO (3000ft)",'Aircraft Calc'!C$211,'Aircraft Calc'!G$211)</f>
        <v>0.7</v>
      </c>
      <c r="H291" s="186">
        <f>IF(ALECA_Input!$F$13="ICAO (3000ft)",'Aircraft Calc'!D$211,'Aircraft Calc'!H$211)</f>
        <v>2.2000000000000002</v>
      </c>
      <c r="I291" s="186">
        <f>IF(ALECA_Input!$F$13="ICAO (3000ft)",'Aircraft Calc'!E$211,'Aircraft Calc'!I$211)</f>
        <v>4</v>
      </c>
      <c r="J291" s="189">
        <v>1</v>
      </c>
      <c r="K291" s="187">
        <f t="shared" si="61"/>
        <v>474.63</v>
      </c>
      <c r="L291" s="187">
        <f t="shared" si="62"/>
        <v>10.270626000000002</v>
      </c>
      <c r="M291" s="187">
        <f t="shared" si="63"/>
        <v>0.16421070000000001</v>
      </c>
      <c r="N291" s="187">
        <f t="shared" si="64"/>
        <v>0.80828400000000011</v>
      </c>
      <c r="O291" s="187">
        <f t="shared" si="65"/>
        <v>6.011442749515649E-2</v>
      </c>
      <c r="P291" s="188">
        <f t="shared" si="66"/>
        <v>2.6180266087323226E+17</v>
      </c>
      <c r="Q291" s="187">
        <f t="shared" si="67"/>
        <v>9000</v>
      </c>
      <c r="R291" s="219">
        <f t="shared" si="68"/>
        <v>30.599999999999998</v>
      </c>
      <c r="S291" s="219">
        <f t="shared" si="69"/>
        <v>56.61</v>
      </c>
      <c r="T291" s="219">
        <f t="shared" si="70"/>
        <v>253.79999999999998</v>
      </c>
      <c r="U291" s="219">
        <f t="shared" si="71"/>
        <v>0.97590677186962571</v>
      </c>
      <c r="V291" s="188">
        <f t="shared" si="72"/>
        <v>9384238721948610</v>
      </c>
      <c r="W291" s="323">
        <v>2.145</v>
      </c>
      <c r="X291" s="323">
        <v>1.7949999999999999</v>
      </c>
      <c r="Y291" s="323">
        <v>0.61499999999999999</v>
      </c>
      <c r="Z291" s="323">
        <v>0.15</v>
      </c>
      <c r="AA291" s="323">
        <v>29.8</v>
      </c>
      <c r="AB291" s="323">
        <v>25.6</v>
      </c>
      <c r="AC291" s="323">
        <v>10.3</v>
      </c>
      <c r="AD291" s="323">
        <v>3.4</v>
      </c>
      <c r="AE291" s="323">
        <v>0.28999999999999998</v>
      </c>
      <c r="AF291" s="323">
        <v>0.28999999999999998</v>
      </c>
      <c r="AG291" s="323">
        <v>0.47000000000000003</v>
      </c>
      <c r="AH291" s="323">
        <v>6.29</v>
      </c>
      <c r="AI291" s="323">
        <v>1</v>
      </c>
      <c r="AJ291" s="323">
        <v>1.1000000000000001</v>
      </c>
      <c r="AK291" s="323">
        <v>3.1</v>
      </c>
      <c r="AL291" s="323">
        <v>28.2</v>
      </c>
      <c r="AM291" s="323">
        <v>6.9686754702501755E-2</v>
      </c>
      <c r="AN291" s="323">
        <v>6.7845071920318384E-2</v>
      </c>
      <c r="AO291" s="323">
        <v>1.6222340943142739E-2</v>
      </c>
      <c r="AP291" s="323">
        <v>2.0664785763291747E-2</v>
      </c>
      <c r="AQ291" s="323">
        <v>0.15199675470250176</v>
      </c>
      <c r="AR291" s="323">
        <v>0.13884507192031839</v>
      </c>
      <c r="AS291" s="323">
        <v>9.1619840943142739E-2</v>
      </c>
      <c r="AT291" s="323">
        <v>0.10843408576329175</v>
      </c>
      <c r="AU291" s="190">
        <v>439527328557472</v>
      </c>
      <c r="AV291" s="190">
        <v>427911492567418.5</v>
      </c>
      <c r="AW291" s="190">
        <v>818538582619007.25</v>
      </c>
      <c r="AX291" s="190">
        <v>1042693191327623.3</v>
      </c>
      <c r="AY291" s="203">
        <v>11.1</v>
      </c>
      <c r="AZ291" s="239">
        <v>209</v>
      </c>
      <c r="BA291" s="203">
        <v>1983</v>
      </c>
      <c r="BB291" s="204">
        <v>39296</v>
      </c>
      <c r="BC291" s="203" t="s">
        <v>741</v>
      </c>
    </row>
    <row r="292" spans="1:55" x14ac:dyDescent="0.2">
      <c r="A292" s="184" t="s">
        <v>1467</v>
      </c>
      <c r="B292" s="184" t="s">
        <v>1466</v>
      </c>
      <c r="C292" s="184" t="s">
        <v>769</v>
      </c>
      <c r="D292" s="185" t="s">
        <v>1043</v>
      </c>
      <c r="E292" s="184" t="s">
        <v>1468</v>
      </c>
      <c r="F292" s="184" t="s">
        <v>1468</v>
      </c>
      <c r="G292" s="186">
        <f>IF(ALECA_Input!$F$13="ICAO (3000ft)",'Aircraft Calc'!C$211,'Aircraft Calc'!G$211)</f>
        <v>0.7</v>
      </c>
      <c r="H292" s="186">
        <f>IF(ALECA_Input!$F$13="ICAO (3000ft)",'Aircraft Calc'!D$211,'Aircraft Calc'!H$211)</f>
        <v>2.2000000000000002</v>
      </c>
      <c r="I292" s="186">
        <f>IF(ALECA_Input!$F$13="ICAO (3000ft)",'Aircraft Calc'!E$211,'Aircraft Calc'!I$211)</f>
        <v>4</v>
      </c>
      <c r="J292" s="189">
        <v>1</v>
      </c>
      <c r="K292" s="187">
        <f t="shared" si="61"/>
        <v>497.32799999999997</v>
      </c>
      <c r="L292" s="187">
        <f t="shared" si="62"/>
        <v>11.082256800000001</v>
      </c>
      <c r="M292" s="187">
        <f t="shared" si="63"/>
        <v>0.18969179999999999</v>
      </c>
      <c r="N292" s="187">
        <f t="shared" si="64"/>
        <v>0.79912200000000011</v>
      </c>
      <c r="O292" s="187">
        <f t="shared" si="65"/>
        <v>6.448007970008314E-2</v>
      </c>
      <c r="P292" s="188">
        <f t="shared" si="66"/>
        <v>2.740060862706119E+17</v>
      </c>
      <c r="Q292" s="187">
        <f t="shared" si="67"/>
        <v>9000</v>
      </c>
      <c r="R292" s="219">
        <f t="shared" si="68"/>
        <v>30.599999999999998</v>
      </c>
      <c r="S292" s="219">
        <f t="shared" si="69"/>
        <v>56.52</v>
      </c>
      <c r="T292" s="219">
        <f t="shared" si="70"/>
        <v>253.79999999999998</v>
      </c>
      <c r="U292" s="219">
        <f t="shared" si="71"/>
        <v>0.97535147186962579</v>
      </c>
      <c r="V292" s="188">
        <f t="shared" si="72"/>
        <v>9384238721948610</v>
      </c>
      <c r="W292" s="323">
        <v>2.254</v>
      </c>
      <c r="X292" s="323">
        <v>1.885</v>
      </c>
      <c r="Y292" s="323">
        <v>0.64100000000000001</v>
      </c>
      <c r="Z292" s="323">
        <v>0.15</v>
      </c>
      <c r="AA292" s="323">
        <v>29.6</v>
      </c>
      <c r="AB292" s="323">
        <v>26.6</v>
      </c>
      <c r="AC292" s="323">
        <v>10.8</v>
      </c>
      <c r="AD292" s="323">
        <v>3.4</v>
      </c>
      <c r="AE292" s="323">
        <v>0.3</v>
      </c>
      <c r="AF292" s="323">
        <v>0.37</v>
      </c>
      <c r="AG292" s="323">
        <v>0.45</v>
      </c>
      <c r="AH292" s="323">
        <v>6.28</v>
      </c>
      <c r="AI292" s="323">
        <v>1</v>
      </c>
      <c r="AJ292" s="323">
        <v>1.1000000000000001</v>
      </c>
      <c r="AK292" s="323">
        <v>2.8000000000000003</v>
      </c>
      <c r="AL292" s="323">
        <v>28.2</v>
      </c>
      <c r="AM292" s="323">
        <v>6.9686754702501755E-2</v>
      </c>
      <c r="AN292" s="323">
        <v>6.7845071920318384E-2</v>
      </c>
      <c r="AO292" s="323">
        <v>1.6222340943142739E-2</v>
      </c>
      <c r="AP292" s="323">
        <v>2.0664785763291747E-2</v>
      </c>
      <c r="AQ292" s="323">
        <v>0.15314675470250175</v>
      </c>
      <c r="AR292" s="323">
        <v>0.14492507192031839</v>
      </c>
      <c r="AS292" s="323">
        <v>9.0494840943142751E-2</v>
      </c>
      <c r="AT292" s="323">
        <v>0.10837238576329175</v>
      </c>
      <c r="AU292" s="190">
        <v>439527328557472</v>
      </c>
      <c r="AV292" s="190">
        <v>427911492567418.5</v>
      </c>
      <c r="AW292" s="190">
        <v>818538582619007.25</v>
      </c>
      <c r="AX292" s="190">
        <v>1042693191327623.3</v>
      </c>
      <c r="AY292" s="203">
        <v>11.9</v>
      </c>
      <c r="AZ292" s="239">
        <v>216.5</v>
      </c>
      <c r="BA292" s="203">
        <v>1983</v>
      </c>
      <c r="BB292" s="204">
        <v>39296</v>
      </c>
      <c r="BC292" s="203" t="s">
        <v>741</v>
      </c>
    </row>
    <row r="293" spans="1:55" x14ac:dyDescent="0.2">
      <c r="A293" s="184" t="s">
        <v>1470</v>
      </c>
      <c r="B293" s="184" t="s">
        <v>1469</v>
      </c>
      <c r="C293" s="184" t="s">
        <v>769</v>
      </c>
      <c r="D293" s="185" t="s">
        <v>1043</v>
      </c>
      <c r="E293" s="184" t="s">
        <v>1471</v>
      </c>
      <c r="F293" s="184" t="s">
        <v>1472</v>
      </c>
      <c r="G293" s="186">
        <f>IF(ALECA_Input!$F$13="ICAO (3000ft)",'Aircraft Calc'!C$211,'Aircraft Calc'!G$211)</f>
        <v>0.7</v>
      </c>
      <c r="H293" s="186">
        <f>IF(ALECA_Input!$F$13="ICAO (3000ft)",'Aircraft Calc'!D$211,'Aircraft Calc'!H$211)</f>
        <v>2.2000000000000002</v>
      </c>
      <c r="I293" s="186">
        <f>IF(ALECA_Input!$F$13="ICAO (3000ft)",'Aircraft Calc'!E$211,'Aircraft Calc'!I$211)</f>
        <v>4</v>
      </c>
      <c r="J293" s="189">
        <v>1</v>
      </c>
      <c r="K293" s="187">
        <f t="shared" si="61"/>
        <v>497.32799999999997</v>
      </c>
      <c r="L293" s="187">
        <f t="shared" si="62"/>
        <v>11.082256800000001</v>
      </c>
      <c r="M293" s="187">
        <f t="shared" si="63"/>
        <v>0.18969179999999999</v>
      </c>
      <c r="N293" s="187">
        <f t="shared" si="64"/>
        <v>0.79912200000000011</v>
      </c>
      <c r="O293" s="187">
        <f t="shared" si="65"/>
        <v>6.448007970008314E-2</v>
      </c>
      <c r="P293" s="188">
        <f t="shared" si="66"/>
        <v>2.740060862706119E+17</v>
      </c>
      <c r="Q293" s="187">
        <f t="shared" si="67"/>
        <v>9000</v>
      </c>
      <c r="R293" s="219">
        <f t="shared" si="68"/>
        <v>30.599999999999998</v>
      </c>
      <c r="S293" s="219">
        <f t="shared" si="69"/>
        <v>56.52</v>
      </c>
      <c r="T293" s="219">
        <f t="shared" si="70"/>
        <v>253.79999999999998</v>
      </c>
      <c r="U293" s="219">
        <f t="shared" si="71"/>
        <v>0.97535147186962579</v>
      </c>
      <c r="V293" s="188">
        <f t="shared" si="72"/>
        <v>9384238721948610</v>
      </c>
      <c r="W293" s="323">
        <v>2.254</v>
      </c>
      <c r="X293" s="323">
        <v>1.885</v>
      </c>
      <c r="Y293" s="323">
        <v>0.64100000000000001</v>
      </c>
      <c r="Z293" s="323">
        <v>0.15</v>
      </c>
      <c r="AA293" s="323">
        <v>29.6</v>
      </c>
      <c r="AB293" s="323">
        <v>26.6</v>
      </c>
      <c r="AC293" s="323">
        <v>10.8</v>
      </c>
      <c r="AD293" s="323">
        <v>3.4</v>
      </c>
      <c r="AE293" s="323">
        <v>0.3</v>
      </c>
      <c r="AF293" s="323">
        <v>0.37</v>
      </c>
      <c r="AG293" s="323">
        <v>0.45</v>
      </c>
      <c r="AH293" s="323">
        <v>6.28</v>
      </c>
      <c r="AI293" s="323">
        <v>1</v>
      </c>
      <c r="AJ293" s="323">
        <v>1.1000000000000001</v>
      </c>
      <c r="AK293" s="323">
        <v>2.8000000000000003</v>
      </c>
      <c r="AL293" s="323">
        <v>28.2</v>
      </c>
      <c r="AM293" s="323">
        <v>6.9686754702501755E-2</v>
      </c>
      <c r="AN293" s="323">
        <v>6.7845071920318384E-2</v>
      </c>
      <c r="AO293" s="323">
        <v>1.6222340943142739E-2</v>
      </c>
      <c r="AP293" s="323">
        <v>2.0664785763291747E-2</v>
      </c>
      <c r="AQ293" s="323">
        <v>0.15314675470250175</v>
      </c>
      <c r="AR293" s="323">
        <v>0.14492507192031839</v>
      </c>
      <c r="AS293" s="323">
        <v>9.0494840943142751E-2</v>
      </c>
      <c r="AT293" s="323">
        <v>0.10837238576329175</v>
      </c>
      <c r="AU293" s="190">
        <v>439527328557472</v>
      </c>
      <c r="AV293" s="190">
        <v>427911492567418.5</v>
      </c>
      <c r="AW293" s="190">
        <v>818538582619007.25</v>
      </c>
      <c r="AX293" s="190">
        <v>1042693191327623.3</v>
      </c>
      <c r="AY293" s="203">
        <v>11.9</v>
      </c>
      <c r="AZ293" s="239">
        <v>217.8</v>
      </c>
      <c r="BA293" s="203">
        <v>1983</v>
      </c>
      <c r="BB293" s="204">
        <v>39296</v>
      </c>
      <c r="BC293" s="203" t="s">
        <v>741</v>
      </c>
    </row>
    <row r="294" spans="1:55" x14ac:dyDescent="0.2">
      <c r="A294" s="184" t="s">
        <v>1474</v>
      </c>
      <c r="B294" s="184" t="s">
        <v>1473</v>
      </c>
      <c r="C294" s="184" t="s">
        <v>769</v>
      </c>
      <c r="D294" s="185" t="s">
        <v>1043</v>
      </c>
      <c r="E294" s="184" t="s">
        <v>1475</v>
      </c>
      <c r="F294" s="184" t="s">
        <v>1476</v>
      </c>
      <c r="G294" s="186">
        <f>IF(ALECA_Input!$F$13="ICAO (3000ft)",'Aircraft Calc'!C$211,'Aircraft Calc'!G$211)</f>
        <v>0.7</v>
      </c>
      <c r="H294" s="186">
        <f>IF(ALECA_Input!$F$13="ICAO (3000ft)",'Aircraft Calc'!D$211,'Aircraft Calc'!H$211)</f>
        <v>2.2000000000000002</v>
      </c>
      <c r="I294" s="186">
        <f>IF(ALECA_Input!$F$13="ICAO (3000ft)",'Aircraft Calc'!E$211,'Aircraft Calc'!I$211)</f>
        <v>4</v>
      </c>
      <c r="J294" s="189">
        <v>1</v>
      </c>
      <c r="K294" s="187">
        <f t="shared" si="61"/>
        <v>511.2360000000001</v>
      </c>
      <c r="L294" s="187">
        <f t="shared" si="62"/>
        <v>11.143773000000001</v>
      </c>
      <c r="M294" s="187">
        <f t="shared" si="63"/>
        <v>6.1793640000000011E-2</v>
      </c>
      <c r="N294" s="187">
        <f t="shared" si="64"/>
        <v>0.52993944000000015</v>
      </c>
      <c r="O294" s="187">
        <f t="shared" si="65"/>
        <v>5.2530194710518376E-2</v>
      </c>
      <c r="P294" s="188">
        <f t="shared" si="66"/>
        <v>3.0132596696673741E+17</v>
      </c>
      <c r="Q294" s="187">
        <f t="shared" si="67"/>
        <v>11940.000000000002</v>
      </c>
      <c r="R294" s="219">
        <f t="shared" si="68"/>
        <v>47.640600000000006</v>
      </c>
      <c r="S294" s="219">
        <f t="shared" si="69"/>
        <v>109.7286</v>
      </c>
      <c r="T294" s="219">
        <f t="shared" si="70"/>
        <v>504.3456000000001</v>
      </c>
      <c r="U294" s="219">
        <f t="shared" si="71"/>
        <v>1.6129661808383333</v>
      </c>
      <c r="V294" s="188">
        <f t="shared" si="72"/>
        <v>1.772865835463139E+16</v>
      </c>
      <c r="W294" s="323">
        <v>2.4</v>
      </c>
      <c r="X294" s="323">
        <v>1.9530000000000001</v>
      </c>
      <c r="Y294" s="323">
        <v>0.63600000000000001</v>
      </c>
      <c r="Z294" s="323">
        <v>0.19900000000000001</v>
      </c>
      <c r="AA294" s="323">
        <v>32.22</v>
      </c>
      <c r="AB294" s="323">
        <v>24.85</v>
      </c>
      <c r="AC294" s="323">
        <v>9.76</v>
      </c>
      <c r="AD294" s="323">
        <v>3.99</v>
      </c>
      <c r="AE294" s="323">
        <v>0.08</v>
      </c>
      <c r="AF294" s="323">
        <v>0.09</v>
      </c>
      <c r="AG294" s="323">
        <v>0.2</v>
      </c>
      <c r="AH294" s="323">
        <v>9.19</v>
      </c>
      <c r="AI294" s="323">
        <v>0.56000000000000005</v>
      </c>
      <c r="AJ294" s="323">
        <v>0.54</v>
      </c>
      <c r="AK294" s="323">
        <v>2.19</v>
      </c>
      <c r="AL294" s="323">
        <v>42.24</v>
      </c>
      <c r="AM294" s="323">
        <v>5.2355946203929402E-2</v>
      </c>
      <c r="AN294" s="323">
        <v>5.5425987032925221E-2</v>
      </c>
      <c r="AO294" s="323">
        <v>2.3100880372263453E-2</v>
      </c>
      <c r="AP294" s="323">
        <v>2.9426994877582335E-2</v>
      </c>
      <c r="AQ294" s="323">
        <v>0.1105159462039294</v>
      </c>
      <c r="AR294" s="323">
        <v>0.11122598703292523</v>
      </c>
      <c r="AS294" s="323">
        <v>8.3310880372263446E-2</v>
      </c>
      <c r="AT294" s="323">
        <v>0.13508929487758234</v>
      </c>
      <c r="AU294" s="190">
        <v>330218694604897.06</v>
      </c>
      <c r="AV294" s="190">
        <v>349582013357383.88</v>
      </c>
      <c r="AW294" s="190">
        <v>1165612407200495.8</v>
      </c>
      <c r="AX294" s="190">
        <v>1484812257506816.5</v>
      </c>
      <c r="AY294" s="203">
        <v>12.4</v>
      </c>
      <c r="AZ294" s="239">
        <v>257.39999999999998</v>
      </c>
      <c r="BA294" s="203">
        <v>1985</v>
      </c>
      <c r="BB294" s="204">
        <v>35684</v>
      </c>
      <c r="BC294" s="203" t="s">
        <v>3102</v>
      </c>
    </row>
    <row r="295" spans="1:55" x14ac:dyDescent="0.2">
      <c r="A295" s="184" t="s">
        <v>666</v>
      </c>
      <c r="B295" s="184" t="s">
        <v>1477</v>
      </c>
      <c r="C295" s="184" t="s">
        <v>769</v>
      </c>
      <c r="D295" s="185" t="s">
        <v>1043</v>
      </c>
      <c r="E295" s="184" t="s">
        <v>1475</v>
      </c>
      <c r="F295" s="184" t="s">
        <v>1475</v>
      </c>
      <c r="G295" s="186">
        <f>IF(ALECA_Input!$F$13="ICAO (3000ft)",'Aircraft Calc'!C$211,'Aircraft Calc'!G$211)</f>
        <v>0.7</v>
      </c>
      <c r="H295" s="186">
        <f>IF(ALECA_Input!$F$13="ICAO (3000ft)",'Aircraft Calc'!D$211,'Aircraft Calc'!H$211)</f>
        <v>2.2000000000000002</v>
      </c>
      <c r="I295" s="186">
        <f>IF(ALECA_Input!$F$13="ICAO (3000ft)",'Aircraft Calc'!E$211,'Aircraft Calc'!I$211)</f>
        <v>4</v>
      </c>
      <c r="J295" s="189">
        <v>1</v>
      </c>
      <c r="K295" s="187">
        <f t="shared" si="61"/>
        <v>521.81400000000008</v>
      </c>
      <c r="L295" s="187">
        <f t="shared" si="62"/>
        <v>10.046510100000001</v>
      </c>
      <c r="M295" s="187">
        <f t="shared" si="63"/>
        <v>3.7027500000000005E-2</v>
      </c>
      <c r="N295" s="187">
        <f t="shared" si="64"/>
        <v>0.33594521999999993</v>
      </c>
      <c r="O295" s="187">
        <f t="shared" si="65"/>
        <v>4.3899029416685061E-2</v>
      </c>
      <c r="P295" s="188">
        <f t="shared" si="66"/>
        <v>1.1736251670124934E+17</v>
      </c>
      <c r="Q295" s="187">
        <f t="shared" si="67"/>
        <v>12060</v>
      </c>
      <c r="R295" s="219">
        <f t="shared" si="68"/>
        <v>56.440799999999996</v>
      </c>
      <c r="S295" s="219">
        <f t="shared" si="69"/>
        <v>19.175400000000003</v>
      </c>
      <c r="T295" s="219">
        <f t="shared" si="70"/>
        <v>238.30560000000003</v>
      </c>
      <c r="U295" s="219">
        <f t="shared" si="71"/>
        <v>0.74952537311872691</v>
      </c>
      <c r="V295" s="188">
        <f t="shared" si="72"/>
        <v>2056422956320298.8</v>
      </c>
      <c r="W295" s="323">
        <v>2.4529999999999998</v>
      </c>
      <c r="X295" s="323">
        <v>1.9890000000000001</v>
      </c>
      <c r="Y295" s="323">
        <v>0.65100000000000002</v>
      </c>
      <c r="Z295" s="323">
        <v>0.20100000000000001</v>
      </c>
      <c r="AA295" s="323">
        <v>26.55</v>
      </c>
      <c r="AB295" s="323">
        <v>20.45</v>
      </c>
      <c r="AC295" s="323">
        <v>12.43</v>
      </c>
      <c r="AD295" s="323">
        <v>4.68</v>
      </c>
      <c r="AE295" s="323">
        <v>0.05</v>
      </c>
      <c r="AF295" s="323">
        <v>0.05</v>
      </c>
      <c r="AG295" s="323">
        <v>0.12</v>
      </c>
      <c r="AH295" s="323">
        <v>1.59</v>
      </c>
      <c r="AI295" s="323">
        <v>0.05</v>
      </c>
      <c r="AJ295" s="323">
        <v>0.04</v>
      </c>
      <c r="AK295" s="323">
        <v>2.0499999999999998</v>
      </c>
      <c r="AL295" s="323">
        <v>19.760000000000002</v>
      </c>
      <c r="AM295" s="323">
        <v>4.7466696588023799E-2</v>
      </c>
      <c r="AN295" s="323">
        <v>3.9617593399479338E-2</v>
      </c>
      <c r="AO295" s="323">
        <v>2.6529075919150928E-3</v>
      </c>
      <c r="AP295" s="323">
        <v>3.3793992635760151E-3</v>
      </c>
      <c r="AQ295" s="323">
        <v>0.10217669658802381</v>
      </c>
      <c r="AR295" s="323">
        <v>9.2377593399479332E-2</v>
      </c>
      <c r="AS295" s="323">
        <v>5.8362907591915092E-2</v>
      </c>
      <c r="AT295" s="323">
        <v>6.2149699263576025E-2</v>
      </c>
      <c r="AU295" s="190">
        <v>299381287532294.75</v>
      </c>
      <c r="AV295" s="190">
        <v>249875533235646</v>
      </c>
      <c r="AW295" s="190">
        <v>133859054480253.08</v>
      </c>
      <c r="AX295" s="190">
        <v>170515999694883.81</v>
      </c>
      <c r="AY295" s="203">
        <v>11.5</v>
      </c>
      <c r="AZ295" s="239">
        <v>257.39999999999998</v>
      </c>
      <c r="BA295" s="203">
        <v>1995</v>
      </c>
      <c r="BB295" s="204">
        <v>39296</v>
      </c>
      <c r="BC295" s="203" t="s">
        <v>3094</v>
      </c>
    </row>
    <row r="296" spans="1:55" x14ac:dyDescent="0.2">
      <c r="A296" s="184" t="s">
        <v>1479</v>
      </c>
      <c r="B296" s="184" t="s">
        <v>1478</v>
      </c>
      <c r="C296" s="184" t="s">
        <v>769</v>
      </c>
      <c r="D296" s="185" t="s">
        <v>1043</v>
      </c>
      <c r="E296" s="184" t="s">
        <v>1480</v>
      </c>
      <c r="F296" s="184" t="s">
        <v>1480</v>
      </c>
      <c r="G296" s="186">
        <f>IF(ALECA_Input!$F$13="ICAO (3000ft)",'Aircraft Calc'!C$211,'Aircraft Calc'!G$211)</f>
        <v>0.7</v>
      </c>
      <c r="H296" s="186">
        <f>IF(ALECA_Input!$F$13="ICAO (3000ft)",'Aircraft Calc'!D$211,'Aircraft Calc'!H$211)</f>
        <v>2.2000000000000002</v>
      </c>
      <c r="I296" s="186">
        <f>IF(ALECA_Input!$F$13="ICAO (3000ft)",'Aircraft Calc'!E$211,'Aircraft Calc'!I$211)</f>
        <v>4</v>
      </c>
      <c r="J296" s="189">
        <v>1</v>
      </c>
      <c r="K296" s="187">
        <f t="shared" si="61"/>
        <v>458.45400000000001</v>
      </c>
      <c r="L296" s="187">
        <f t="shared" si="62"/>
        <v>8.5762260000000001</v>
      </c>
      <c r="M296" s="187">
        <f t="shared" si="63"/>
        <v>7.2585360000000015E-2</v>
      </c>
      <c r="N296" s="187">
        <f t="shared" si="64"/>
        <v>0.60372851999999999</v>
      </c>
      <c r="O296" s="187">
        <f t="shared" si="65"/>
        <v>4.4963578787027114E-2</v>
      </c>
      <c r="P296" s="188">
        <f t="shared" si="66"/>
        <v>2.0422779700111517E+17</v>
      </c>
      <c r="Q296" s="187">
        <f t="shared" si="67"/>
        <v>11340</v>
      </c>
      <c r="R296" s="219">
        <f t="shared" si="68"/>
        <v>44.339399999999998</v>
      </c>
      <c r="S296" s="219">
        <f t="shared" si="69"/>
        <v>121.7916</v>
      </c>
      <c r="T296" s="219">
        <f t="shared" si="70"/>
        <v>529.01099999999997</v>
      </c>
      <c r="U296" s="219">
        <f t="shared" si="71"/>
        <v>1.5316612179608082</v>
      </c>
      <c r="V296" s="188">
        <f t="shared" si="72"/>
        <v>1.1352967520447252E+16</v>
      </c>
      <c r="W296" s="323">
        <v>2.117</v>
      </c>
      <c r="X296" s="323">
        <v>1.7450000000000001</v>
      </c>
      <c r="Y296" s="323">
        <v>0.57999999999999996</v>
      </c>
      <c r="Z296" s="323">
        <v>0.189</v>
      </c>
      <c r="AA296" s="323">
        <v>27.9</v>
      </c>
      <c r="AB296" s="323">
        <v>20.71</v>
      </c>
      <c r="AC296" s="323">
        <v>9.52</v>
      </c>
      <c r="AD296" s="323">
        <v>3.91</v>
      </c>
      <c r="AE296" s="323">
        <v>0.14000000000000001</v>
      </c>
      <c r="AF296" s="323">
        <v>0.11</v>
      </c>
      <c r="AG296" s="323">
        <v>0.25</v>
      </c>
      <c r="AH296" s="323">
        <v>10.74</v>
      </c>
      <c r="AI296" s="323">
        <v>0.57999999999999996</v>
      </c>
      <c r="AJ296" s="323">
        <v>0.56000000000000005</v>
      </c>
      <c r="AK296" s="323">
        <v>3.04</v>
      </c>
      <c r="AL296" s="323">
        <v>46.65</v>
      </c>
      <c r="AM296" s="323">
        <v>4.5329434806262683E-2</v>
      </c>
      <c r="AN296" s="323">
        <v>4.7774705279600808E-2</v>
      </c>
      <c r="AO296" s="323">
        <v>1.5575906368964252E-2</v>
      </c>
      <c r="AP296" s="323">
        <v>1.9841326804304088E-2</v>
      </c>
      <c r="AQ296" s="323">
        <v>0.11038943480626269</v>
      </c>
      <c r="AR296" s="323">
        <v>0.10509470527960081</v>
      </c>
      <c r="AS296" s="323">
        <v>7.8598406368964244E-2</v>
      </c>
      <c r="AT296" s="323">
        <v>0.13506712680430408</v>
      </c>
      <c r="AU296" s="190">
        <v>285901179793374.31</v>
      </c>
      <c r="AV296" s="190">
        <v>301323955661399.94</v>
      </c>
      <c r="AW296" s="190">
        <v>785921117485059</v>
      </c>
      <c r="AX296" s="190">
        <v>1001143520321627.1</v>
      </c>
      <c r="AY296" s="203">
        <v>10.6</v>
      </c>
      <c r="AZ296" s="239">
        <v>233.35</v>
      </c>
      <c r="BA296" s="203">
        <v>1985</v>
      </c>
      <c r="BB296" s="204">
        <v>39045</v>
      </c>
      <c r="BC296" s="203" t="s">
        <v>3103</v>
      </c>
    </row>
    <row r="297" spans="1:55" x14ac:dyDescent="0.2">
      <c r="A297" s="184" t="s">
        <v>1482</v>
      </c>
      <c r="B297" s="184" t="s">
        <v>1481</v>
      </c>
      <c r="C297" s="184" t="s">
        <v>769</v>
      </c>
      <c r="D297" s="185" t="s">
        <v>1043</v>
      </c>
      <c r="E297" s="184" t="s">
        <v>1480</v>
      </c>
      <c r="F297" s="184" t="s">
        <v>1480</v>
      </c>
      <c r="G297" s="186">
        <f>IF(ALECA_Input!$F$13="ICAO (3000ft)",'Aircraft Calc'!C$211,'Aircraft Calc'!G$211)</f>
        <v>0.7</v>
      </c>
      <c r="H297" s="186">
        <f>IF(ALECA_Input!$F$13="ICAO (3000ft)",'Aircraft Calc'!D$211,'Aircraft Calc'!H$211)</f>
        <v>2.2000000000000002</v>
      </c>
      <c r="I297" s="186">
        <f>IF(ALECA_Input!$F$13="ICAO (3000ft)",'Aircraft Calc'!E$211,'Aircraft Calc'!I$211)</f>
        <v>4</v>
      </c>
      <c r="J297" s="189">
        <v>1</v>
      </c>
      <c r="K297" s="187">
        <f t="shared" si="61"/>
        <v>458.45400000000001</v>
      </c>
      <c r="L297" s="187">
        <f t="shared" si="62"/>
        <v>8.56315062</v>
      </c>
      <c r="M297" s="187">
        <f t="shared" si="63"/>
        <v>6.2163120000000009E-2</v>
      </c>
      <c r="N297" s="187">
        <f t="shared" si="64"/>
        <v>0.58661597999999993</v>
      </c>
      <c r="O297" s="187">
        <f t="shared" si="65"/>
        <v>4.4018413787027116E-2</v>
      </c>
      <c r="P297" s="188">
        <f t="shared" si="66"/>
        <v>2.0422779700111517E+17</v>
      </c>
      <c r="Q297" s="187">
        <f t="shared" si="67"/>
        <v>11340</v>
      </c>
      <c r="R297" s="219">
        <f t="shared" si="68"/>
        <v>44.792999999999999</v>
      </c>
      <c r="S297" s="219">
        <f t="shared" si="69"/>
        <v>118.84320000000001</v>
      </c>
      <c r="T297" s="219">
        <f t="shared" si="70"/>
        <v>521.75339999999994</v>
      </c>
      <c r="U297" s="219">
        <f t="shared" si="71"/>
        <v>1.5134695899608086</v>
      </c>
      <c r="V297" s="188">
        <f t="shared" si="72"/>
        <v>1.1352967520447252E+16</v>
      </c>
      <c r="W297" s="323">
        <v>2.117</v>
      </c>
      <c r="X297" s="323">
        <v>1.7450000000000001</v>
      </c>
      <c r="Y297" s="323">
        <v>0.57999999999999996</v>
      </c>
      <c r="Z297" s="323">
        <v>0.189</v>
      </c>
      <c r="AA297" s="323">
        <v>27.93</v>
      </c>
      <c r="AB297" s="323">
        <v>20.69</v>
      </c>
      <c r="AC297" s="323">
        <v>9.44</v>
      </c>
      <c r="AD297" s="323">
        <v>3.95</v>
      </c>
      <c r="AE297" s="323">
        <v>0.08</v>
      </c>
      <c r="AF297" s="323">
        <v>0.1</v>
      </c>
      <c r="AG297" s="323">
        <v>0.23</v>
      </c>
      <c r="AH297" s="323">
        <v>10.48</v>
      </c>
      <c r="AI297" s="323">
        <v>0.56999999999999995</v>
      </c>
      <c r="AJ297" s="323">
        <v>0.55000000000000004</v>
      </c>
      <c r="AK297" s="323">
        <v>2.94</v>
      </c>
      <c r="AL297" s="323">
        <v>46.01</v>
      </c>
      <c r="AM297" s="323">
        <v>4.5329434806262683E-2</v>
      </c>
      <c r="AN297" s="323">
        <v>4.7774705279600808E-2</v>
      </c>
      <c r="AO297" s="323">
        <v>1.5575906368964252E-2</v>
      </c>
      <c r="AP297" s="323">
        <v>1.9841326804304088E-2</v>
      </c>
      <c r="AQ297" s="323">
        <v>0.10348943480626269</v>
      </c>
      <c r="AR297" s="323">
        <v>0.10433470527960081</v>
      </c>
      <c r="AS297" s="323">
        <v>7.7473406368964243E-2</v>
      </c>
      <c r="AT297" s="323">
        <v>0.13346292680430411</v>
      </c>
      <c r="AU297" s="190">
        <v>285901179793374.31</v>
      </c>
      <c r="AV297" s="190">
        <v>301323955661399.94</v>
      </c>
      <c r="AW297" s="190">
        <v>785921117485059</v>
      </c>
      <c r="AX297" s="190">
        <v>1001143520321627.1</v>
      </c>
      <c r="AY297" s="203">
        <v>9.6999999999999993</v>
      </c>
      <c r="AZ297" s="239">
        <v>233.35</v>
      </c>
      <c r="BA297" s="203">
        <v>1985</v>
      </c>
      <c r="BB297" s="204">
        <v>39296</v>
      </c>
      <c r="BC297" s="203" t="s">
        <v>3102</v>
      </c>
    </row>
    <row r="298" spans="1:55" x14ac:dyDescent="0.2">
      <c r="A298" s="184" t="s">
        <v>1484</v>
      </c>
      <c r="B298" s="184" t="s">
        <v>1483</v>
      </c>
      <c r="C298" s="184" t="s">
        <v>769</v>
      </c>
      <c r="D298" s="185" t="s">
        <v>1043</v>
      </c>
      <c r="E298" s="184" t="s">
        <v>1426</v>
      </c>
      <c r="F298" s="184" t="s">
        <v>1426</v>
      </c>
      <c r="G298" s="186">
        <f>IF(ALECA_Input!$F$13="ICAO (3000ft)",'Aircraft Calc'!C$211,'Aircraft Calc'!G$211)</f>
        <v>0.7</v>
      </c>
      <c r="H298" s="186">
        <f>IF(ALECA_Input!$F$13="ICAO (3000ft)",'Aircraft Calc'!D$211,'Aircraft Calc'!H$211)</f>
        <v>2.2000000000000002</v>
      </c>
      <c r="I298" s="186">
        <f>IF(ALECA_Input!$F$13="ICAO (3000ft)",'Aircraft Calc'!E$211,'Aircraft Calc'!I$211)</f>
        <v>4</v>
      </c>
      <c r="J298" s="189">
        <v>1</v>
      </c>
      <c r="K298" s="187">
        <f t="shared" si="61"/>
        <v>523.35</v>
      </c>
      <c r="L298" s="187">
        <f t="shared" si="62"/>
        <v>11.842037160000002</v>
      </c>
      <c r="M298" s="187">
        <f t="shared" si="63"/>
        <v>6.7404720000000001E-2</v>
      </c>
      <c r="N298" s="187">
        <f t="shared" si="64"/>
        <v>0.54647417999999992</v>
      </c>
      <c r="O298" s="187">
        <f t="shared" si="65"/>
        <v>5.3163513237584011E-2</v>
      </c>
      <c r="P298" s="188">
        <f t="shared" si="66"/>
        <v>2.8886813367344525E+17</v>
      </c>
      <c r="Q298" s="187">
        <f t="shared" si="67"/>
        <v>12120.000000000002</v>
      </c>
      <c r="R298" s="219">
        <f t="shared" si="68"/>
        <v>47.995200000000004</v>
      </c>
      <c r="S298" s="219">
        <f t="shared" si="69"/>
        <v>111.62520000000002</v>
      </c>
      <c r="T298" s="219">
        <f t="shared" si="70"/>
        <v>511.22160000000002</v>
      </c>
      <c r="U298" s="219">
        <f t="shared" si="71"/>
        <v>1.6086296641718556</v>
      </c>
      <c r="V298" s="188">
        <f t="shared" si="72"/>
        <v>1.647472221806893E+16</v>
      </c>
      <c r="W298" s="323">
        <v>2.4569999999999999</v>
      </c>
      <c r="X298" s="323">
        <v>2.0030000000000001</v>
      </c>
      <c r="Y298" s="323">
        <v>0.64900000000000002</v>
      </c>
      <c r="Z298" s="323">
        <v>0.20200000000000001</v>
      </c>
      <c r="AA298" s="323">
        <v>34.44</v>
      </c>
      <c r="AB298" s="323">
        <v>25.45</v>
      </c>
      <c r="AC298" s="323">
        <v>10.01</v>
      </c>
      <c r="AD298" s="323">
        <v>3.96</v>
      </c>
      <c r="AE298" s="323">
        <v>0.08</v>
      </c>
      <c r="AF298" s="323">
        <v>0.1</v>
      </c>
      <c r="AG298" s="323">
        <v>0.21</v>
      </c>
      <c r="AH298" s="323">
        <v>9.2100000000000009</v>
      </c>
      <c r="AI298" s="323">
        <v>0.59</v>
      </c>
      <c r="AJ298" s="323">
        <v>0.56999999999999995</v>
      </c>
      <c r="AK298" s="323">
        <v>2.15</v>
      </c>
      <c r="AL298" s="323">
        <v>42.18</v>
      </c>
      <c r="AM298" s="323">
        <v>5.0732736852412461E-2</v>
      </c>
      <c r="AN298" s="323">
        <v>5.3753601781559641E-2</v>
      </c>
      <c r="AO298" s="323">
        <v>2.1148154174363831E-2</v>
      </c>
      <c r="AP298" s="323">
        <v>2.6939519816159694E-2</v>
      </c>
      <c r="AQ298" s="323">
        <v>0.10889273685241246</v>
      </c>
      <c r="AR298" s="323">
        <v>0.11031360178155965</v>
      </c>
      <c r="AS298" s="323">
        <v>8.1920654174363838E-2</v>
      </c>
      <c r="AT298" s="323">
        <v>0.1327252198161597</v>
      </c>
      <c r="AU298" s="190">
        <v>319980811193515.69</v>
      </c>
      <c r="AV298" s="190">
        <v>339033968395473.19</v>
      </c>
      <c r="AW298" s="190">
        <v>1067082747401464</v>
      </c>
      <c r="AX298" s="190">
        <v>1359300513041990.8</v>
      </c>
      <c r="AY298" s="203">
        <v>13.1</v>
      </c>
      <c r="AZ298" s="239">
        <v>262.22000000000003</v>
      </c>
      <c r="BA298" s="203">
        <v>1985</v>
      </c>
      <c r="BB298" s="204">
        <v>39045</v>
      </c>
      <c r="BC298" s="203" t="s">
        <v>3104</v>
      </c>
    </row>
    <row r="299" spans="1:55" x14ac:dyDescent="0.2">
      <c r="A299" s="184" t="s">
        <v>1486</v>
      </c>
      <c r="B299" s="184" t="s">
        <v>1485</v>
      </c>
      <c r="C299" s="184" t="s">
        <v>769</v>
      </c>
      <c r="D299" s="185" t="s">
        <v>1043</v>
      </c>
      <c r="E299" s="184" t="s">
        <v>1429</v>
      </c>
      <c r="F299" s="184" t="s">
        <v>1429</v>
      </c>
      <c r="G299" s="186">
        <f>IF(ALECA_Input!$F$13="ICAO (3000ft)",'Aircraft Calc'!C$211,'Aircraft Calc'!G$211)</f>
        <v>0.7</v>
      </c>
      <c r="H299" s="186">
        <f>IF(ALECA_Input!$F$13="ICAO (3000ft)",'Aircraft Calc'!D$211,'Aircraft Calc'!H$211)</f>
        <v>2.2000000000000002</v>
      </c>
      <c r="I299" s="186">
        <f>IF(ALECA_Input!$F$13="ICAO (3000ft)",'Aircraft Calc'!E$211,'Aircraft Calc'!I$211)</f>
        <v>4</v>
      </c>
      <c r="J299" s="189">
        <v>1</v>
      </c>
      <c r="K299" s="187">
        <f t="shared" si="61"/>
        <v>548.10599999999999</v>
      </c>
      <c r="L299" s="187">
        <f t="shared" si="62"/>
        <v>11.128735139999998</v>
      </c>
      <c r="M299" s="187">
        <f t="shared" si="63"/>
        <v>6.2550060000000005E-2</v>
      </c>
      <c r="N299" s="187">
        <f t="shared" si="64"/>
        <v>0.51749592000000011</v>
      </c>
      <c r="O299" s="187">
        <f t="shared" si="65"/>
        <v>5.4992953436559681E-2</v>
      </c>
      <c r="P299" s="188">
        <f t="shared" si="66"/>
        <v>3.038018346168704E+17</v>
      </c>
      <c r="Q299" s="187">
        <f t="shared" si="67"/>
        <v>12420</v>
      </c>
      <c r="R299" s="219">
        <f t="shared" si="68"/>
        <v>47.071800000000003</v>
      </c>
      <c r="S299" s="219">
        <f t="shared" si="69"/>
        <v>111.6558</v>
      </c>
      <c r="T299" s="219">
        <f t="shared" si="70"/>
        <v>517.29300000000001</v>
      </c>
      <c r="U299" s="219">
        <f t="shared" si="71"/>
        <v>1.6315883221167033</v>
      </c>
      <c r="V299" s="188">
        <f t="shared" si="72"/>
        <v>1.6882512371981526E+16</v>
      </c>
      <c r="W299" s="323">
        <v>2.581</v>
      </c>
      <c r="X299" s="323">
        <v>2.0819999999999999</v>
      </c>
      <c r="Y299" s="323">
        <v>0.68700000000000006</v>
      </c>
      <c r="Z299" s="323">
        <v>0.20699999999999999</v>
      </c>
      <c r="AA299" s="323">
        <v>30.85</v>
      </c>
      <c r="AB299" s="323">
        <v>22.86</v>
      </c>
      <c r="AC299" s="323">
        <v>9.11</v>
      </c>
      <c r="AD299" s="323">
        <v>3.79</v>
      </c>
      <c r="AE299" s="323">
        <v>7.0000000000000007E-2</v>
      </c>
      <c r="AF299" s="323">
        <v>0.08</v>
      </c>
      <c r="AG299" s="323">
        <v>0.2</v>
      </c>
      <c r="AH299" s="323">
        <v>8.99</v>
      </c>
      <c r="AI299" s="323">
        <v>0.52</v>
      </c>
      <c r="AJ299" s="323">
        <v>0.52</v>
      </c>
      <c r="AK299" s="323">
        <v>1.93</v>
      </c>
      <c r="AL299" s="323">
        <v>41.65</v>
      </c>
      <c r="AM299" s="323">
        <v>5.0732736852412461E-2</v>
      </c>
      <c r="AN299" s="323">
        <v>5.3753601781559641E-2</v>
      </c>
      <c r="AO299" s="323">
        <v>2.1148154174363831E-2</v>
      </c>
      <c r="AP299" s="323">
        <v>2.6939519816159694E-2</v>
      </c>
      <c r="AQ299" s="323">
        <v>0.10774273685241247</v>
      </c>
      <c r="AR299" s="323">
        <v>0.10879360178155965</v>
      </c>
      <c r="AS299" s="323">
        <v>8.1358154174363845E-2</v>
      </c>
      <c r="AT299" s="323">
        <v>0.13136781981615969</v>
      </c>
      <c r="AU299" s="190">
        <v>319980811193515.69</v>
      </c>
      <c r="AV299" s="190">
        <v>339033968395473.19</v>
      </c>
      <c r="AW299" s="190">
        <v>1067082747401464</v>
      </c>
      <c r="AX299" s="190">
        <v>1359300513041990.8</v>
      </c>
      <c r="AY299" s="203">
        <v>12.4</v>
      </c>
      <c r="AZ299" s="239">
        <v>267.3</v>
      </c>
      <c r="BA299" s="203">
        <v>1985</v>
      </c>
      <c r="BB299" s="204">
        <v>39045</v>
      </c>
      <c r="BC299" s="203" t="s">
        <v>3105</v>
      </c>
    </row>
    <row r="300" spans="1:55" x14ac:dyDescent="0.2">
      <c r="A300" s="184" t="s">
        <v>1488</v>
      </c>
      <c r="B300" s="184" t="s">
        <v>1487</v>
      </c>
      <c r="C300" s="184" t="s">
        <v>769</v>
      </c>
      <c r="D300" s="185" t="s">
        <v>1043</v>
      </c>
      <c r="E300" s="184" t="s">
        <v>1489</v>
      </c>
      <c r="F300" s="184" t="s">
        <v>1489</v>
      </c>
      <c r="G300" s="186">
        <f>IF(ALECA_Input!$F$13="ICAO (3000ft)",'Aircraft Calc'!C$211,'Aircraft Calc'!G$211)</f>
        <v>0.7</v>
      </c>
      <c r="H300" s="186">
        <f>IF(ALECA_Input!$F$13="ICAO (3000ft)",'Aircraft Calc'!D$211,'Aircraft Calc'!H$211)</f>
        <v>2.2000000000000002</v>
      </c>
      <c r="I300" s="186">
        <f>IF(ALECA_Input!$F$13="ICAO (3000ft)",'Aircraft Calc'!E$211,'Aircraft Calc'!I$211)</f>
        <v>4</v>
      </c>
      <c r="J300" s="189">
        <v>1</v>
      </c>
      <c r="K300" s="187">
        <f t="shared" si="61"/>
        <v>520.29000000000008</v>
      </c>
      <c r="L300" s="187">
        <f t="shared" si="62"/>
        <v>10.613661</v>
      </c>
      <c r="M300" s="187">
        <f t="shared" si="63"/>
        <v>6.3065160000000009E-2</v>
      </c>
      <c r="N300" s="187">
        <f t="shared" si="64"/>
        <v>0.51106680000000004</v>
      </c>
      <c r="O300" s="187">
        <f t="shared" si="65"/>
        <v>5.3406750987256356E-2</v>
      </c>
      <c r="P300" s="188">
        <f t="shared" si="66"/>
        <v>3.0812516235712614E+17</v>
      </c>
      <c r="Q300" s="187">
        <f t="shared" si="67"/>
        <v>12300</v>
      </c>
      <c r="R300" s="219">
        <f t="shared" si="68"/>
        <v>45.510000000000005</v>
      </c>
      <c r="S300" s="219">
        <f t="shared" si="69"/>
        <v>113.16000000000003</v>
      </c>
      <c r="T300" s="219">
        <f t="shared" si="70"/>
        <v>520.29000000000008</v>
      </c>
      <c r="U300" s="219">
        <f t="shared" si="71"/>
        <v>1.6623572369942627</v>
      </c>
      <c r="V300" s="188">
        <f t="shared" si="72"/>
        <v>1.8263190767333844E+16</v>
      </c>
      <c r="W300" s="323">
        <v>2.5070000000000001</v>
      </c>
      <c r="X300" s="323">
        <v>1.9530000000000001</v>
      </c>
      <c r="Y300" s="323">
        <v>0.65500000000000003</v>
      </c>
      <c r="Z300" s="323">
        <v>0.20500000000000002</v>
      </c>
      <c r="AA300" s="323">
        <v>33.5</v>
      </c>
      <c r="AB300" s="323">
        <v>22</v>
      </c>
      <c r="AC300" s="323">
        <v>9</v>
      </c>
      <c r="AD300" s="323">
        <v>3.7</v>
      </c>
      <c r="AE300" s="323">
        <v>0.08</v>
      </c>
      <c r="AF300" s="323">
        <v>0.09</v>
      </c>
      <c r="AG300" s="323">
        <v>0.2</v>
      </c>
      <c r="AH300" s="323">
        <v>9.2000000000000011</v>
      </c>
      <c r="AI300" s="323">
        <v>0.52</v>
      </c>
      <c r="AJ300" s="323">
        <v>0.52</v>
      </c>
      <c r="AK300" s="323">
        <v>2.0499999999999998</v>
      </c>
      <c r="AL300" s="323">
        <v>42.300000000000004</v>
      </c>
      <c r="AM300" s="323">
        <v>5.2355946203929402E-2</v>
      </c>
      <c r="AN300" s="323">
        <v>5.5425987032925221E-2</v>
      </c>
      <c r="AO300" s="323">
        <v>2.3100880372263453E-2</v>
      </c>
      <c r="AP300" s="323">
        <v>2.9426994877582335E-2</v>
      </c>
      <c r="AQ300" s="323">
        <v>0.1105159462039294</v>
      </c>
      <c r="AR300" s="323">
        <v>0.11122598703292523</v>
      </c>
      <c r="AS300" s="323">
        <v>8.3310880372263446E-2</v>
      </c>
      <c r="AT300" s="323">
        <v>0.13515099487758234</v>
      </c>
      <c r="AU300" s="190">
        <v>330218694604897.06</v>
      </c>
      <c r="AV300" s="190">
        <v>349582013357383.88</v>
      </c>
      <c r="AW300" s="190">
        <v>1165612407200495.8</v>
      </c>
      <c r="AX300" s="190">
        <v>1484812257506816.5</v>
      </c>
      <c r="AY300" s="203">
        <v>11.8</v>
      </c>
      <c r="AZ300" s="239">
        <v>257.39999999999998</v>
      </c>
      <c r="BA300" s="203">
        <v>1985</v>
      </c>
      <c r="BB300" s="204">
        <v>39296</v>
      </c>
      <c r="BC300" s="203" t="s">
        <v>3102</v>
      </c>
    </row>
    <row r="301" spans="1:55" x14ac:dyDescent="0.2">
      <c r="A301" s="184" t="s">
        <v>1491</v>
      </c>
      <c r="B301" s="184" t="s">
        <v>1490</v>
      </c>
      <c r="C301" s="184" t="s">
        <v>769</v>
      </c>
      <c r="D301" s="185" t="s">
        <v>1043</v>
      </c>
      <c r="E301" s="184" t="s">
        <v>1480</v>
      </c>
      <c r="F301" s="184" t="s">
        <v>1480</v>
      </c>
      <c r="G301" s="186">
        <f>IF(ALECA_Input!$F$13="ICAO (3000ft)",'Aircraft Calc'!C$211,'Aircraft Calc'!G$211)</f>
        <v>0.7</v>
      </c>
      <c r="H301" s="186">
        <f>IF(ALECA_Input!$F$13="ICAO (3000ft)",'Aircraft Calc'!D$211,'Aircraft Calc'!H$211)</f>
        <v>2.2000000000000002</v>
      </c>
      <c r="I301" s="186">
        <f>IF(ALECA_Input!$F$13="ICAO (3000ft)",'Aircraft Calc'!E$211,'Aircraft Calc'!I$211)</f>
        <v>4</v>
      </c>
      <c r="J301" s="189">
        <v>1</v>
      </c>
      <c r="K301" s="187">
        <f t="shared" si="61"/>
        <v>465.75599999999997</v>
      </c>
      <c r="L301" s="187">
        <f t="shared" si="62"/>
        <v>7.9938500400000008</v>
      </c>
      <c r="M301" s="187">
        <f t="shared" si="63"/>
        <v>3.3199799999999995E-2</v>
      </c>
      <c r="N301" s="187">
        <f t="shared" si="64"/>
        <v>0.37779995999999999</v>
      </c>
      <c r="O301" s="187">
        <f t="shared" si="65"/>
        <v>3.4691711771436456E-2</v>
      </c>
      <c r="P301" s="188">
        <f t="shared" si="66"/>
        <v>7.6657655657331824E+16</v>
      </c>
      <c r="Q301" s="187">
        <f t="shared" si="67"/>
        <v>11520</v>
      </c>
      <c r="R301" s="219">
        <f t="shared" si="68"/>
        <v>51.724800000000002</v>
      </c>
      <c r="S301" s="219">
        <f t="shared" si="69"/>
        <v>21.887999999999998</v>
      </c>
      <c r="T301" s="219">
        <f t="shared" si="70"/>
        <v>253.09439999999998</v>
      </c>
      <c r="U301" s="219">
        <f t="shared" si="71"/>
        <v>0.73799883951639578</v>
      </c>
      <c r="V301" s="188">
        <f t="shared" si="72"/>
        <v>1964344316485061.5</v>
      </c>
      <c r="W301" s="323">
        <v>2.1520000000000001</v>
      </c>
      <c r="X301" s="323">
        <v>1.7709999999999999</v>
      </c>
      <c r="Y301" s="323">
        <v>0.59</v>
      </c>
      <c r="Z301" s="323">
        <v>0.192</v>
      </c>
      <c r="AA301" s="323">
        <v>22.35</v>
      </c>
      <c r="AB301" s="323">
        <v>18.37</v>
      </c>
      <c r="AC301" s="323">
        <v>11.86</v>
      </c>
      <c r="AD301" s="323">
        <v>4.49</v>
      </c>
      <c r="AE301" s="323">
        <v>0.05</v>
      </c>
      <c r="AF301" s="323">
        <v>0.05</v>
      </c>
      <c r="AG301" s="323">
        <v>0.12</v>
      </c>
      <c r="AH301" s="323">
        <v>1.9</v>
      </c>
      <c r="AI301" s="323">
        <v>0.04</v>
      </c>
      <c r="AJ301" s="323">
        <v>0.05</v>
      </c>
      <c r="AK301" s="323">
        <v>2.56</v>
      </c>
      <c r="AL301" s="323">
        <v>21.97</v>
      </c>
      <c r="AM301" s="323">
        <v>4.2003941536421757E-2</v>
      </c>
      <c r="AN301" s="323">
        <v>2.2895472702433733E-2</v>
      </c>
      <c r="AO301" s="323">
        <v>2.6529075919150928E-3</v>
      </c>
      <c r="AP301" s="323">
        <v>3.3793992635760151E-3</v>
      </c>
      <c r="AQ301" s="323">
        <v>9.6713941536421738E-2</v>
      </c>
      <c r="AR301" s="323">
        <v>7.5655472702433738E-2</v>
      </c>
      <c r="AS301" s="323">
        <v>5.8362907591915092E-2</v>
      </c>
      <c r="AT301" s="323">
        <v>6.4062399263576028E-2</v>
      </c>
      <c r="AU301" s="190">
        <v>264926674964315.78</v>
      </c>
      <c r="AV301" s="190">
        <v>144406006506139.59</v>
      </c>
      <c r="AW301" s="190">
        <v>133859054480253.08</v>
      </c>
      <c r="AX301" s="190">
        <v>170515999694883.81</v>
      </c>
      <c r="AY301" s="203">
        <v>9.3000000000000007</v>
      </c>
      <c r="AZ301" s="239">
        <v>233.35</v>
      </c>
      <c r="BA301" s="203">
        <v>1995</v>
      </c>
      <c r="BB301" s="204">
        <v>39296</v>
      </c>
      <c r="BC301" s="203" t="s">
        <v>3095</v>
      </c>
    </row>
    <row r="302" spans="1:55" x14ac:dyDescent="0.2">
      <c r="A302" s="184" t="s">
        <v>1493</v>
      </c>
      <c r="B302" s="184" t="s">
        <v>1492</v>
      </c>
      <c r="C302" s="184" t="s">
        <v>769</v>
      </c>
      <c r="D302" s="185" t="s">
        <v>1043</v>
      </c>
      <c r="E302" s="184" t="s">
        <v>1426</v>
      </c>
      <c r="F302" s="184" t="s">
        <v>1426</v>
      </c>
      <c r="G302" s="186">
        <f>IF(ALECA_Input!$F$13="ICAO (3000ft)",'Aircraft Calc'!C$211,'Aircraft Calc'!G$211)</f>
        <v>0.7</v>
      </c>
      <c r="H302" s="186">
        <f>IF(ALECA_Input!$F$13="ICAO (3000ft)",'Aircraft Calc'!D$211,'Aircraft Calc'!H$211)</f>
        <v>2.2000000000000002</v>
      </c>
      <c r="I302" s="186">
        <f>IF(ALECA_Input!$F$13="ICAO (3000ft)",'Aircraft Calc'!E$211,'Aircraft Calc'!I$211)</f>
        <v>4</v>
      </c>
      <c r="J302" s="189">
        <v>1</v>
      </c>
      <c r="K302" s="187">
        <f t="shared" si="61"/>
        <v>533.96400000000006</v>
      </c>
      <c r="L302" s="187">
        <f t="shared" si="62"/>
        <v>10.57894596</v>
      </c>
      <c r="M302" s="187">
        <f t="shared" si="63"/>
        <v>3.5174280000000002E-2</v>
      </c>
      <c r="N302" s="187">
        <f t="shared" si="64"/>
        <v>0.33169920000000003</v>
      </c>
      <c r="O302" s="187">
        <f t="shared" si="65"/>
        <v>4.5371757115535434E-2</v>
      </c>
      <c r="P302" s="188">
        <f t="shared" si="66"/>
        <v>1.2416585460684675E+17</v>
      </c>
      <c r="Q302" s="187">
        <f t="shared" si="67"/>
        <v>12180.000000000002</v>
      </c>
      <c r="R302" s="219">
        <f t="shared" si="68"/>
        <v>57.489600000000003</v>
      </c>
      <c r="S302" s="219">
        <f t="shared" si="69"/>
        <v>18.757200000000001</v>
      </c>
      <c r="T302" s="219">
        <f t="shared" si="70"/>
        <v>235.31760000000003</v>
      </c>
      <c r="U302" s="219">
        <f t="shared" si="71"/>
        <v>0.75322580703035602</v>
      </c>
      <c r="V302" s="188">
        <f t="shared" si="72"/>
        <v>2076884876283685</v>
      </c>
      <c r="W302" s="323">
        <v>2.516</v>
      </c>
      <c r="X302" s="323">
        <v>2.0409999999999999</v>
      </c>
      <c r="Y302" s="323">
        <v>0.66200000000000003</v>
      </c>
      <c r="Z302" s="323">
        <v>0.20300000000000001</v>
      </c>
      <c r="AA302" s="323">
        <v>27.68</v>
      </c>
      <c r="AB302" s="323">
        <v>21.05</v>
      </c>
      <c r="AC302" s="323">
        <v>12.48</v>
      </c>
      <c r="AD302" s="323">
        <v>4.72</v>
      </c>
      <c r="AE302" s="323">
        <v>0.04</v>
      </c>
      <c r="AF302" s="323">
        <v>0.05</v>
      </c>
      <c r="AG302" s="323">
        <v>0.11</v>
      </c>
      <c r="AH302" s="323">
        <v>1.54</v>
      </c>
      <c r="AI302" s="323">
        <v>0.06</v>
      </c>
      <c r="AJ302" s="323">
        <v>0.04</v>
      </c>
      <c r="AK302" s="323">
        <v>1.98</v>
      </c>
      <c r="AL302" s="323">
        <v>19.32</v>
      </c>
      <c r="AM302" s="323">
        <v>4.704866652104861E-2</v>
      </c>
      <c r="AN302" s="323">
        <v>4.2101807746944102E-2</v>
      </c>
      <c r="AO302" s="323">
        <v>2.6529075919150928E-3</v>
      </c>
      <c r="AP302" s="323">
        <v>3.3793992635760151E-3</v>
      </c>
      <c r="AQ302" s="323">
        <v>0.10060866652104861</v>
      </c>
      <c r="AR302" s="323">
        <v>9.4861807746944096E-2</v>
      </c>
      <c r="AS302" s="323">
        <v>5.7800407591915098E-2</v>
      </c>
      <c r="AT302" s="323">
        <v>6.1841199263576022E-2</v>
      </c>
      <c r="AU302" s="190">
        <v>296744694116821.63</v>
      </c>
      <c r="AV302" s="190">
        <v>265543935364094.25</v>
      </c>
      <c r="AW302" s="190">
        <v>133859054480253.08</v>
      </c>
      <c r="AX302" s="190">
        <v>170515999694883.81</v>
      </c>
      <c r="AY302" s="203">
        <v>12.1</v>
      </c>
      <c r="AZ302" s="239">
        <v>262.22000000000003</v>
      </c>
      <c r="BA302" s="203">
        <v>1995</v>
      </c>
      <c r="BB302" s="204">
        <v>39296</v>
      </c>
      <c r="BC302" s="203" t="s">
        <v>3095</v>
      </c>
    </row>
    <row r="303" spans="1:55" x14ac:dyDescent="0.2">
      <c r="A303" s="184" t="s">
        <v>1495</v>
      </c>
      <c r="B303" s="184" t="s">
        <v>1494</v>
      </c>
      <c r="C303" s="184" t="s">
        <v>769</v>
      </c>
      <c r="D303" s="185" t="s">
        <v>1043</v>
      </c>
      <c r="E303" s="184" t="s">
        <v>1429</v>
      </c>
      <c r="F303" s="184" t="s">
        <v>1429</v>
      </c>
      <c r="G303" s="186">
        <f>IF(ALECA_Input!$F$13="ICAO (3000ft)",'Aircraft Calc'!C$211,'Aircraft Calc'!G$211)</f>
        <v>0.7</v>
      </c>
      <c r="H303" s="186">
        <f>IF(ALECA_Input!$F$13="ICAO (3000ft)",'Aircraft Calc'!D$211,'Aircraft Calc'!H$211)</f>
        <v>2.2000000000000002</v>
      </c>
      <c r="I303" s="186">
        <f>IF(ALECA_Input!$F$13="ICAO (3000ft)",'Aircraft Calc'!E$211,'Aircraft Calc'!I$211)</f>
        <v>4</v>
      </c>
      <c r="J303" s="189">
        <v>1</v>
      </c>
      <c r="K303" s="187">
        <f t="shared" si="61"/>
        <v>546.31200000000001</v>
      </c>
      <c r="L303" s="187">
        <f t="shared" si="62"/>
        <v>11.11769928</v>
      </c>
      <c r="M303" s="187">
        <f t="shared" si="63"/>
        <v>3.5908799999999998E-2</v>
      </c>
      <c r="N303" s="187">
        <f t="shared" si="64"/>
        <v>0.32561328</v>
      </c>
      <c r="O303" s="187">
        <f t="shared" si="65"/>
        <v>4.7211395798864006E-2</v>
      </c>
      <c r="P303" s="188">
        <f t="shared" si="66"/>
        <v>1.3189119034172118E+17</v>
      </c>
      <c r="Q303" s="187">
        <f t="shared" si="67"/>
        <v>12299.999999999998</v>
      </c>
      <c r="R303" s="219">
        <f t="shared" si="68"/>
        <v>58.547999999999995</v>
      </c>
      <c r="S303" s="219">
        <f t="shared" si="69"/>
        <v>18.203999999999997</v>
      </c>
      <c r="T303" s="219">
        <f t="shared" si="70"/>
        <v>232.34699999999998</v>
      </c>
      <c r="U303" s="219">
        <f t="shared" si="71"/>
        <v>0.75609329094198496</v>
      </c>
      <c r="V303" s="188">
        <f t="shared" si="72"/>
        <v>2097346796247070.8</v>
      </c>
      <c r="W303" s="323">
        <v>2.58</v>
      </c>
      <c r="X303" s="323">
        <v>2.0960000000000001</v>
      </c>
      <c r="Y303" s="323">
        <v>0.67200000000000004</v>
      </c>
      <c r="Z303" s="323">
        <v>0.20499999999999999</v>
      </c>
      <c r="AA303" s="323">
        <v>28.57</v>
      </c>
      <c r="AB303" s="323">
        <v>21.69</v>
      </c>
      <c r="AC303" s="323">
        <v>12.53</v>
      </c>
      <c r="AD303" s="323">
        <v>4.76</v>
      </c>
      <c r="AE303" s="323">
        <v>0.04</v>
      </c>
      <c r="AF303" s="323">
        <v>0.05</v>
      </c>
      <c r="AG303" s="323">
        <v>0.11</v>
      </c>
      <c r="AH303" s="323">
        <v>1.48</v>
      </c>
      <c r="AI303" s="323">
        <v>0.06</v>
      </c>
      <c r="AJ303" s="323">
        <v>0.04</v>
      </c>
      <c r="AK303" s="323">
        <v>1.91</v>
      </c>
      <c r="AL303" s="323">
        <v>18.89</v>
      </c>
      <c r="AM303" s="323">
        <v>4.7216321586489751E-2</v>
      </c>
      <c r="AN303" s="323">
        <v>4.4717243289266358E-2</v>
      </c>
      <c r="AO303" s="323">
        <v>2.6529075919150928E-3</v>
      </c>
      <c r="AP303" s="323">
        <v>3.3793992635760151E-3</v>
      </c>
      <c r="AQ303" s="323">
        <v>0.10077632158648976</v>
      </c>
      <c r="AR303" s="323">
        <v>9.7477243289266366E-2</v>
      </c>
      <c r="AS303" s="323">
        <v>5.7800407591915098E-2</v>
      </c>
      <c r="AT303" s="323">
        <v>6.1470999263576021E-2</v>
      </c>
      <c r="AU303" s="190">
        <v>297802125810219.56</v>
      </c>
      <c r="AV303" s="190">
        <v>282039973984901.13</v>
      </c>
      <c r="AW303" s="190">
        <v>133859054480253.08</v>
      </c>
      <c r="AX303" s="190">
        <v>170515999694883.81</v>
      </c>
      <c r="AY303" s="203">
        <v>12.6</v>
      </c>
      <c r="AZ303" s="239">
        <v>267.33999999999997</v>
      </c>
      <c r="BA303" s="203">
        <v>1995</v>
      </c>
      <c r="BB303" s="204">
        <v>39296</v>
      </c>
      <c r="BC303" s="203" t="s">
        <v>3095</v>
      </c>
    </row>
    <row r="304" spans="1:55" x14ac:dyDescent="0.2">
      <c r="A304" s="184" t="s">
        <v>1497</v>
      </c>
      <c r="B304" s="184" t="s">
        <v>1496</v>
      </c>
      <c r="C304" s="184" t="s">
        <v>769</v>
      </c>
      <c r="D304" s="185" t="s">
        <v>1043</v>
      </c>
      <c r="E304" s="184" t="s">
        <v>1498</v>
      </c>
      <c r="F304" s="184" t="s">
        <v>1499</v>
      </c>
      <c r="G304" s="186">
        <f>IF(ALECA_Input!$F$13="ICAO (3000ft)",'Aircraft Calc'!C$211,'Aircraft Calc'!G$211)</f>
        <v>0.7</v>
      </c>
      <c r="H304" s="186">
        <f>IF(ALECA_Input!$F$13="ICAO (3000ft)",'Aircraft Calc'!D$211,'Aircraft Calc'!H$211)</f>
        <v>2.2000000000000002</v>
      </c>
      <c r="I304" s="186">
        <f>IF(ALECA_Input!$F$13="ICAO (3000ft)",'Aircraft Calc'!E$211,'Aircraft Calc'!I$211)</f>
        <v>4</v>
      </c>
      <c r="J304" s="189">
        <v>1</v>
      </c>
      <c r="K304" s="187">
        <f t="shared" si="61"/>
        <v>491.04600000000005</v>
      </c>
      <c r="L304" s="187">
        <f t="shared" si="62"/>
        <v>9.2593812600000014</v>
      </c>
      <c r="M304" s="187">
        <f t="shared" si="63"/>
        <v>6.097524E-2</v>
      </c>
      <c r="N304" s="187">
        <f t="shared" si="64"/>
        <v>0.54202320000000004</v>
      </c>
      <c r="O304" s="187">
        <f t="shared" si="65"/>
        <v>4.8149995465701492E-2</v>
      </c>
      <c r="P304" s="188">
        <f t="shared" si="66"/>
        <v>2.4227638322553782E+17</v>
      </c>
      <c r="Q304" s="187">
        <f t="shared" si="67"/>
        <v>11760</v>
      </c>
      <c r="R304" s="219">
        <f t="shared" si="68"/>
        <v>43.864800000000002</v>
      </c>
      <c r="S304" s="219">
        <f t="shared" si="69"/>
        <v>111.2496</v>
      </c>
      <c r="T304" s="219">
        <f t="shared" si="70"/>
        <v>508.2672</v>
      </c>
      <c r="U304" s="219">
        <f t="shared" si="71"/>
        <v>1.5317828822772368</v>
      </c>
      <c r="V304" s="188">
        <f t="shared" si="72"/>
        <v>1.3603502917665512E+16</v>
      </c>
      <c r="W304" s="323">
        <v>2.2850000000000001</v>
      </c>
      <c r="X304" s="323">
        <v>1.873</v>
      </c>
      <c r="Y304" s="323">
        <v>0.61599999999999999</v>
      </c>
      <c r="Z304" s="323">
        <v>0.19600000000000001</v>
      </c>
      <c r="AA304" s="323">
        <v>28.11</v>
      </c>
      <c r="AB304" s="323">
        <v>21.26</v>
      </c>
      <c r="AC304" s="323">
        <v>8.83</v>
      </c>
      <c r="AD304" s="323">
        <v>3.73</v>
      </c>
      <c r="AE304" s="323">
        <v>0.08</v>
      </c>
      <c r="AF304" s="323">
        <v>0.09</v>
      </c>
      <c r="AG304" s="323">
        <v>0.21</v>
      </c>
      <c r="AH304" s="323">
        <v>9.4600000000000009</v>
      </c>
      <c r="AI304" s="323">
        <v>0.57999999999999996</v>
      </c>
      <c r="AJ304" s="323">
        <v>0.55000000000000004</v>
      </c>
      <c r="AK304" s="323">
        <v>2.37</v>
      </c>
      <c r="AL304" s="323">
        <v>43.22</v>
      </c>
      <c r="AM304" s="323">
        <v>4.7881360637647842E-2</v>
      </c>
      <c r="AN304" s="323">
        <v>5.0689028097293212E-2</v>
      </c>
      <c r="AO304" s="323">
        <v>1.7997012544940742E-2</v>
      </c>
      <c r="AP304" s="323">
        <v>2.2925446452145996E-2</v>
      </c>
      <c r="AQ304" s="323">
        <v>0.10604136063764785</v>
      </c>
      <c r="AR304" s="323">
        <v>0.10648902809729321</v>
      </c>
      <c r="AS304" s="323">
        <v>7.8769512544940745E-2</v>
      </c>
      <c r="AT304" s="323">
        <v>0.13025364645214599</v>
      </c>
      <c r="AU304" s="190">
        <v>301996650850017.69</v>
      </c>
      <c r="AV304" s="190">
        <v>319705131942069.06</v>
      </c>
      <c r="AW304" s="190">
        <v>908084054671484.25</v>
      </c>
      <c r="AX304" s="190">
        <v>1156760452182441.5</v>
      </c>
      <c r="AY304" s="203">
        <v>10.4</v>
      </c>
      <c r="AZ304" s="239">
        <v>249</v>
      </c>
      <c r="BA304" s="203">
        <v>1985</v>
      </c>
      <c r="BB304" s="204">
        <v>39296</v>
      </c>
      <c r="BC304" s="203" t="s">
        <v>3106</v>
      </c>
    </row>
    <row r="305" spans="1:55" x14ac:dyDescent="0.2">
      <c r="A305" s="184" t="s">
        <v>1501</v>
      </c>
      <c r="B305" s="184" t="s">
        <v>1500</v>
      </c>
      <c r="C305" s="184" t="s">
        <v>769</v>
      </c>
      <c r="D305" s="185" t="s">
        <v>1043</v>
      </c>
      <c r="E305" s="184" t="s">
        <v>1502</v>
      </c>
      <c r="F305" s="184" t="s">
        <v>1502</v>
      </c>
      <c r="G305" s="186">
        <f>IF(ALECA_Input!$F$13="ICAO (3000ft)",'Aircraft Calc'!C$211,'Aircraft Calc'!G$211)</f>
        <v>0.7</v>
      </c>
      <c r="H305" s="186">
        <f>IF(ALECA_Input!$F$13="ICAO (3000ft)",'Aircraft Calc'!D$211,'Aircraft Calc'!H$211)</f>
        <v>2.2000000000000002</v>
      </c>
      <c r="I305" s="186">
        <f>IF(ALECA_Input!$F$13="ICAO (3000ft)",'Aircraft Calc'!E$211,'Aircraft Calc'!I$211)</f>
        <v>4</v>
      </c>
      <c r="J305" s="189">
        <v>1</v>
      </c>
      <c r="K305" s="187">
        <f t="shared" si="61"/>
        <v>460.43399999999997</v>
      </c>
      <c r="L305" s="187">
        <f t="shared" si="62"/>
        <v>7.6879021799999991</v>
      </c>
      <c r="M305" s="187">
        <f t="shared" si="63"/>
        <v>6.0870959999999995E-2</v>
      </c>
      <c r="N305" s="187">
        <f t="shared" si="64"/>
        <v>0.54583673999999993</v>
      </c>
      <c r="O305" s="187">
        <f t="shared" si="65"/>
        <v>4.258508522633643E-2</v>
      </c>
      <c r="P305" s="188">
        <f t="shared" si="66"/>
        <v>1.7921700596730323E+17</v>
      </c>
      <c r="Q305" s="187">
        <f t="shared" si="67"/>
        <v>11520</v>
      </c>
      <c r="R305" s="219">
        <f t="shared" si="68"/>
        <v>42.624000000000002</v>
      </c>
      <c r="S305" s="219">
        <f t="shared" si="69"/>
        <v>128.67839999999998</v>
      </c>
      <c r="T305" s="219">
        <f t="shared" si="70"/>
        <v>553.19040000000007</v>
      </c>
      <c r="U305" s="219">
        <f t="shared" si="71"/>
        <v>1.5498650312184197</v>
      </c>
      <c r="V305" s="188">
        <f t="shared" si="72"/>
        <v>9682797263562880</v>
      </c>
      <c r="W305" s="323">
        <v>2.1309999999999998</v>
      </c>
      <c r="X305" s="323">
        <v>1.7609999999999999</v>
      </c>
      <c r="Y305" s="323">
        <v>0.57699999999999996</v>
      </c>
      <c r="Z305" s="323">
        <v>0.192</v>
      </c>
      <c r="AA305" s="323">
        <v>23.89</v>
      </c>
      <c r="AB305" s="323">
        <v>18.650000000000002</v>
      </c>
      <c r="AC305" s="323">
        <v>8.77</v>
      </c>
      <c r="AD305" s="323">
        <v>3.7</v>
      </c>
      <c r="AE305" s="323">
        <v>0.08</v>
      </c>
      <c r="AF305" s="323">
        <v>0.1</v>
      </c>
      <c r="AG305" s="323">
        <v>0.22</v>
      </c>
      <c r="AH305" s="323">
        <v>11.17</v>
      </c>
      <c r="AI305" s="323">
        <v>0.57000000000000006</v>
      </c>
      <c r="AJ305" s="323">
        <v>0.55000000000000004</v>
      </c>
      <c r="AK305" s="323">
        <v>2.65</v>
      </c>
      <c r="AL305" s="323">
        <v>48.02</v>
      </c>
      <c r="AM305" s="323">
        <v>4.2003941536421757E-2</v>
      </c>
      <c r="AN305" s="323">
        <v>4.3743073109330836E-2</v>
      </c>
      <c r="AO305" s="323">
        <v>1.3076916381668371E-2</v>
      </c>
      <c r="AP305" s="323">
        <v>1.6657995071043388E-2</v>
      </c>
      <c r="AQ305" s="323">
        <v>0.10016394153642175</v>
      </c>
      <c r="AR305" s="323">
        <v>0.10030307310933084</v>
      </c>
      <c r="AS305" s="323">
        <v>7.4411916381668372E-2</v>
      </c>
      <c r="AT305" s="323">
        <v>0.13453689507104338</v>
      </c>
      <c r="AU305" s="190">
        <v>264926674964315.78</v>
      </c>
      <c r="AV305" s="190">
        <v>275895701395722.28</v>
      </c>
      <c r="AW305" s="190">
        <v>659828358779669.25</v>
      </c>
      <c r="AX305" s="190">
        <v>840520595795388.88</v>
      </c>
      <c r="AY305" s="203">
        <v>8.8000000000000007</v>
      </c>
      <c r="AZ305" s="239">
        <v>231.1</v>
      </c>
      <c r="BA305" s="203">
        <v>1985</v>
      </c>
      <c r="BB305" s="204">
        <v>39296</v>
      </c>
      <c r="BC305" s="203" t="s">
        <v>3106</v>
      </c>
    </row>
    <row r="306" spans="1:55" x14ac:dyDescent="0.2">
      <c r="A306" s="184" t="s">
        <v>1504</v>
      </c>
      <c r="B306" s="184" t="s">
        <v>1503</v>
      </c>
      <c r="C306" s="184" t="s">
        <v>769</v>
      </c>
      <c r="D306" s="185" t="s">
        <v>1043</v>
      </c>
      <c r="E306" s="184" t="s">
        <v>246</v>
      </c>
      <c r="F306" s="184" t="s">
        <v>246</v>
      </c>
      <c r="G306" s="186">
        <f>IF(ALECA_Input!$F$13="ICAO (3000ft)",'Aircraft Calc'!C$211,'Aircraft Calc'!G$211)</f>
        <v>0.7</v>
      </c>
      <c r="H306" s="186">
        <f>IF(ALECA_Input!$F$13="ICAO (3000ft)",'Aircraft Calc'!D$211,'Aircraft Calc'!H$211)</f>
        <v>2.2000000000000002</v>
      </c>
      <c r="I306" s="186">
        <f>IF(ALECA_Input!$F$13="ICAO (3000ft)",'Aircraft Calc'!E$211,'Aircraft Calc'!I$211)</f>
        <v>4</v>
      </c>
      <c r="J306" s="189">
        <v>1</v>
      </c>
      <c r="K306" s="187">
        <f t="shared" si="61"/>
        <v>519.68399999999997</v>
      </c>
      <c r="L306" s="187">
        <f t="shared" si="62"/>
        <v>10.0719552</v>
      </c>
      <c r="M306" s="187">
        <f t="shared" si="63"/>
        <v>6.4470959999999994E-2</v>
      </c>
      <c r="N306" s="187">
        <f t="shared" si="64"/>
        <v>0.56191056000000006</v>
      </c>
      <c r="O306" s="187">
        <f t="shared" si="65"/>
        <v>5.1198519631839148E-2</v>
      </c>
      <c r="P306" s="188">
        <f t="shared" si="66"/>
        <v>2.6051562591598518E+17</v>
      </c>
      <c r="Q306" s="187">
        <f t="shared" si="67"/>
        <v>11940.000000000002</v>
      </c>
      <c r="R306" s="219">
        <f t="shared" si="68"/>
        <v>43.819800000000001</v>
      </c>
      <c r="S306" s="219">
        <f t="shared" si="69"/>
        <v>116.29560000000002</v>
      </c>
      <c r="T306" s="219">
        <f t="shared" si="70"/>
        <v>524.2854000000001</v>
      </c>
      <c r="U306" s="219">
        <f t="shared" si="71"/>
        <v>1.5823780823160309</v>
      </c>
      <c r="V306" s="188">
        <f t="shared" si="72"/>
        <v>1.414080352319518E+16</v>
      </c>
      <c r="W306" s="323">
        <v>2.4300000000000002</v>
      </c>
      <c r="X306" s="323">
        <v>1.982</v>
      </c>
      <c r="Y306" s="323">
        <v>0.65</v>
      </c>
      <c r="Z306" s="323">
        <v>0.19900000000000001</v>
      </c>
      <c r="AA306" s="323">
        <v>29.2</v>
      </c>
      <c r="AB306" s="323">
        <v>21.8</v>
      </c>
      <c r="AC306" s="323">
        <v>8.9</v>
      </c>
      <c r="AD306" s="323">
        <v>3.67</v>
      </c>
      <c r="AE306" s="323">
        <v>0.08</v>
      </c>
      <c r="AF306" s="323">
        <v>0.09</v>
      </c>
      <c r="AG306" s="323">
        <v>0.21</v>
      </c>
      <c r="AH306" s="323">
        <v>9.74</v>
      </c>
      <c r="AI306" s="323">
        <v>0.56000000000000005</v>
      </c>
      <c r="AJ306" s="323">
        <v>0.54</v>
      </c>
      <c r="AK306" s="323">
        <v>2.33</v>
      </c>
      <c r="AL306" s="323">
        <v>43.910000000000004</v>
      </c>
      <c r="AM306" s="323">
        <v>4.8293237002895777E-2</v>
      </c>
      <c r="AN306" s="323">
        <v>5.1143418210872142E-2</v>
      </c>
      <c r="AO306" s="323">
        <v>1.8425816777707618E-2</v>
      </c>
      <c r="AP306" s="323">
        <v>2.347167758090709E-2</v>
      </c>
      <c r="AQ306" s="323">
        <v>0.10645323700289577</v>
      </c>
      <c r="AR306" s="323">
        <v>0.10694341821087214</v>
      </c>
      <c r="AS306" s="323">
        <v>7.9198316777707611E-2</v>
      </c>
      <c r="AT306" s="323">
        <v>0.1325274775809071</v>
      </c>
      <c r="AU306" s="190">
        <v>304594431723674.63</v>
      </c>
      <c r="AV306" s="190">
        <v>322571054937003.69</v>
      </c>
      <c r="AW306" s="190">
        <v>929720439342489.13</v>
      </c>
      <c r="AX306" s="190">
        <v>1184321903115174</v>
      </c>
      <c r="AY306" s="203">
        <v>11.2</v>
      </c>
      <c r="AZ306" s="239">
        <v>254.35</v>
      </c>
      <c r="BA306" s="203">
        <v>1985</v>
      </c>
      <c r="BB306" s="204">
        <v>39296</v>
      </c>
      <c r="BC306" s="203" t="s">
        <v>3106</v>
      </c>
    </row>
    <row r="307" spans="1:55" x14ac:dyDescent="0.2">
      <c r="A307" s="184" t="s">
        <v>1506</v>
      </c>
      <c r="B307" s="184" t="s">
        <v>1505</v>
      </c>
      <c r="C307" s="184" t="s">
        <v>769</v>
      </c>
      <c r="D307" s="185" t="s">
        <v>1043</v>
      </c>
      <c r="E307" s="184" t="s">
        <v>1357</v>
      </c>
      <c r="F307" s="184" t="s">
        <v>1357</v>
      </c>
      <c r="G307" s="186">
        <f>IF(ALECA_Input!$F$13="ICAO (3000ft)",'Aircraft Calc'!C$211,'Aircraft Calc'!G$211)</f>
        <v>0.7</v>
      </c>
      <c r="H307" s="186">
        <f>IF(ALECA_Input!$F$13="ICAO (3000ft)",'Aircraft Calc'!D$211,'Aircraft Calc'!H$211)</f>
        <v>2.2000000000000002</v>
      </c>
      <c r="I307" s="186">
        <f>IF(ALECA_Input!$F$13="ICAO (3000ft)",'Aircraft Calc'!E$211,'Aircraft Calc'!I$211)</f>
        <v>4</v>
      </c>
      <c r="J307" s="189">
        <v>1</v>
      </c>
      <c r="K307" s="187">
        <f t="shared" si="61"/>
        <v>547.65000000000009</v>
      </c>
      <c r="L307" s="187">
        <f t="shared" si="62"/>
        <v>11.138582460000002</v>
      </c>
      <c r="M307" s="187">
        <f t="shared" si="63"/>
        <v>6.2485620000000013E-2</v>
      </c>
      <c r="N307" s="187">
        <f t="shared" si="64"/>
        <v>0.51692039999999995</v>
      </c>
      <c r="O307" s="187">
        <f t="shared" si="65"/>
        <v>5.4950016334227074E-2</v>
      </c>
      <c r="P307" s="188">
        <f t="shared" si="66"/>
        <v>3.0347410388552563E+17</v>
      </c>
      <c r="Q307" s="187">
        <f t="shared" si="67"/>
        <v>12420</v>
      </c>
      <c r="R307" s="219">
        <f t="shared" si="68"/>
        <v>47.071800000000003</v>
      </c>
      <c r="S307" s="219">
        <f t="shared" si="69"/>
        <v>111.6558</v>
      </c>
      <c r="T307" s="219">
        <f t="shared" si="70"/>
        <v>517.41720000000009</v>
      </c>
      <c r="U307" s="219">
        <f t="shared" si="71"/>
        <v>1.6315883221167033</v>
      </c>
      <c r="V307" s="188">
        <f t="shared" si="72"/>
        <v>1.6882512371981526E+16</v>
      </c>
      <c r="W307" s="323">
        <v>2.5790000000000002</v>
      </c>
      <c r="X307" s="323">
        <v>2.081</v>
      </c>
      <c r="Y307" s="323">
        <v>0.68600000000000005</v>
      </c>
      <c r="Z307" s="323">
        <v>0.20699999999999999</v>
      </c>
      <c r="AA307" s="323">
        <v>30.810000000000002</v>
      </c>
      <c r="AB307" s="323">
        <v>22.94</v>
      </c>
      <c r="AC307" s="323">
        <v>9.11</v>
      </c>
      <c r="AD307" s="323">
        <v>3.79</v>
      </c>
      <c r="AE307" s="323">
        <v>7.0000000000000007E-2</v>
      </c>
      <c r="AF307" s="323">
        <v>0.08</v>
      </c>
      <c r="AG307" s="323">
        <v>0.2</v>
      </c>
      <c r="AH307" s="323">
        <v>8.99</v>
      </c>
      <c r="AI307" s="323">
        <v>0.52</v>
      </c>
      <c r="AJ307" s="323">
        <v>0.52</v>
      </c>
      <c r="AK307" s="323">
        <v>1.93</v>
      </c>
      <c r="AL307" s="323">
        <v>41.660000000000004</v>
      </c>
      <c r="AM307" s="323">
        <v>5.0732736852412461E-2</v>
      </c>
      <c r="AN307" s="323">
        <v>5.3753601781559641E-2</v>
      </c>
      <c r="AO307" s="323">
        <v>2.1148154174363831E-2</v>
      </c>
      <c r="AP307" s="323">
        <v>2.6939519816159694E-2</v>
      </c>
      <c r="AQ307" s="323">
        <v>0.10774273685241247</v>
      </c>
      <c r="AR307" s="323">
        <v>0.10879360178155965</v>
      </c>
      <c r="AS307" s="323">
        <v>8.1358154174363845E-2</v>
      </c>
      <c r="AT307" s="323">
        <v>0.13136781981615969</v>
      </c>
      <c r="AU307" s="190">
        <v>319980811193515.69</v>
      </c>
      <c r="AV307" s="190">
        <v>339033968395473.19</v>
      </c>
      <c r="AW307" s="190">
        <v>1067082747401464</v>
      </c>
      <c r="AX307" s="190">
        <v>1359300513041990.8</v>
      </c>
      <c r="AY307" s="203">
        <v>12.4</v>
      </c>
      <c r="AZ307" s="239">
        <v>267.2</v>
      </c>
      <c r="BA307" s="203">
        <v>1985</v>
      </c>
      <c r="BB307" s="204">
        <v>39296</v>
      </c>
      <c r="BC307" s="203" t="s">
        <v>3106</v>
      </c>
    </row>
    <row r="308" spans="1:55" x14ac:dyDescent="0.2">
      <c r="A308" s="184" t="s">
        <v>1508</v>
      </c>
      <c r="B308" s="184" t="s">
        <v>1507</v>
      </c>
      <c r="C308" s="184" t="s">
        <v>769</v>
      </c>
      <c r="D308" s="185" t="s">
        <v>1043</v>
      </c>
      <c r="E308" s="184" t="s">
        <v>1509</v>
      </c>
      <c r="F308" s="184" t="s">
        <v>1509</v>
      </c>
      <c r="G308" s="186">
        <f>IF(ALECA_Input!$F$13="ICAO (3000ft)",'Aircraft Calc'!C$211,'Aircraft Calc'!G$211)</f>
        <v>0.7</v>
      </c>
      <c r="H308" s="186">
        <f>IF(ALECA_Input!$F$13="ICAO (3000ft)",'Aircraft Calc'!D$211,'Aircraft Calc'!H$211)</f>
        <v>2.2000000000000002</v>
      </c>
      <c r="I308" s="186">
        <f>IF(ALECA_Input!$F$13="ICAO (3000ft)",'Aircraft Calc'!E$211,'Aircraft Calc'!I$211)</f>
        <v>4</v>
      </c>
      <c r="J308" s="189">
        <v>1</v>
      </c>
      <c r="K308" s="187">
        <f t="shared" si="61"/>
        <v>498.29399999999998</v>
      </c>
      <c r="L308" s="187">
        <f t="shared" si="62"/>
        <v>9.3549663000000027</v>
      </c>
      <c r="M308" s="187">
        <f t="shared" si="63"/>
        <v>6.0257640000000008E-2</v>
      </c>
      <c r="N308" s="187">
        <f t="shared" si="64"/>
        <v>0.51099048000000002</v>
      </c>
      <c r="O308" s="187">
        <f t="shared" si="65"/>
        <v>4.8803676608822767E-2</v>
      </c>
      <c r="P308" s="188">
        <f t="shared" si="66"/>
        <v>2.4525801038160074E+17</v>
      </c>
      <c r="Q308" s="187">
        <f t="shared" si="67"/>
        <v>11940.000000000002</v>
      </c>
      <c r="R308" s="219">
        <f t="shared" si="68"/>
        <v>45.133200000000002</v>
      </c>
      <c r="S308" s="219">
        <f t="shared" si="69"/>
        <v>115.57920000000001</v>
      </c>
      <c r="T308" s="219">
        <f t="shared" si="70"/>
        <v>529.18080000000009</v>
      </c>
      <c r="U308" s="219">
        <f t="shared" si="71"/>
        <v>1.5714358946386233</v>
      </c>
      <c r="V308" s="188">
        <f t="shared" si="72"/>
        <v>1.3811719799058352E+16</v>
      </c>
      <c r="W308" s="323">
        <v>2.3410000000000002</v>
      </c>
      <c r="X308" s="323">
        <v>1.901</v>
      </c>
      <c r="Y308" s="323">
        <v>0.621</v>
      </c>
      <c r="Z308" s="323">
        <v>0.19900000000000001</v>
      </c>
      <c r="AA308" s="323">
        <v>27.73</v>
      </c>
      <c r="AB308" s="323">
        <v>21.07</v>
      </c>
      <c r="AC308" s="323">
        <v>9</v>
      </c>
      <c r="AD308" s="323">
        <v>3.78</v>
      </c>
      <c r="AE308" s="323">
        <v>0.08</v>
      </c>
      <c r="AF308" s="323">
        <v>0.09</v>
      </c>
      <c r="AG308" s="323">
        <v>0.2</v>
      </c>
      <c r="AH308" s="323">
        <v>9.68</v>
      </c>
      <c r="AI308" s="323">
        <v>0.52</v>
      </c>
      <c r="AJ308" s="323">
        <v>0.52</v>
      </c>
      <c r="AK308" s="323">
        <v>2.21</v>
      </c>
      <c r="AL308" s="323">
        <v>44.32</v>
      </c>
      <c r="AM308" s="323">
        <v>4.7881360637647842E-2</v>
      </c>
      <c r="AN308" s="323">
        <v>5.0689028097293212E-2</v>
      </c>
      <c r="AO308" s="323">
        <v>1.7997012544940742E-2</v>
      </c>
      <c r="AP308" s="323">
        <v>2.2925446452145996E-2</v>
      </c>
      <c r="AQ308" s="323">
        <v>0.10604136063764785</v>
      </c>
      <c r="AR308" s="323">
        <v>0.10648902809729321</v>
      </c>
      <c r="AS308" s="323">
        <v>7.8207012544940752E-2</v>
      </c>
      <c r="AT308" s="323">
        <v>0.131611046452146</v>
      </c>
      <c r="AU308" s="190">
        <v>301996650850017.69</v>
      </c>
      <c r="AV308" s="190">
        <v>319705131942069.06</v>
      </c>
      <c r="AW308" s="190">
        <v>908084054671484.25</v>
      </c>
      <c r="AX308" s="190">
        <v>1156760452182441.5</v>
      </c>
      <c r="AY308" s="203">
        <v>10.5</v>
      </c>
      <c r="AZ308" s="239">
        <v>254.3</v>
      </c>
      <c r="BA308" s="203">
        <v>1985</v>
      </c>
      <c r="BB308" s="204">
        <v>39296</v>
      </c>
      <c r="BC308" s="203" t="s">
        <v>3106</v>
      </c>
    </row>
    <row r="309" spans="1:55" x14ac:dyDescent="0.2">
      <c r="A309" s="184" t="s">
        <v>1511</v>
      </c>
      <c r="B309" s="184" t="s">
        <v>1510</v>
      </c>
      <c r="C309" s="184" t="s">
        <v>769</v>
      </c>
      <c r="D309" s="185" t="s">
        <v>1043</v>
      </c>
      <c r="E309" s="184" t="s">
        <v>1347</v>
      </c>
      <c r="F309" s="184" t="s">
        <v>1347</v>
      </c>
      <c r="G309" s="186">
        <f>IF(ALECA_Input!$F$13="ICAO (3000ft)",'Aircraft Calc'!C$211,'Aircraft Calc'!G$211)</f>
        <v>0.7</v>
      </c>
      <c r="H309" s="186">
        <f>IF(ALECA_Input!$F$13="ICAO (3000ft)",'Aircraft Calc'!D$211,'Aircraft Calc'!H$211)</f>
        <v>2.2000000000000002</v>
      </c>
      <c r="I309" s="186">
        <f>IF(ALECA_Input!$F$13="ICAO (3000ft)",'Aircraft Calc'!E$211,'Aircraft Calc'!I$211)</f>
        <v>4</v>
      </c>
      <c r="J309" s="189">
        <v>1</v>
      </c>
      <c r="K309" s="187">
        <f t="shared" si="61"/>
        <v>445.68600000000004</v>
      </c>
      <c r="L309" s="187">
        <f t="shared" si="62"/>
        <v>7.3098420000000006</v>
      </c>
      <c r="M309" s="187">
        <f t="shared" si="63"/>
        <v>5.800752E-2</v>
      </c>
      <c r="N309" s="187">
        <f t="shared" si="64"/>
        <v>0.55479312000000003</v>
      </c>
      <c r="O309" s="187">
        <f t="shared" si="65"/>
        <v>3.8722583206127648E-2</v>
      </c>
      <c r="P309" s="188">
        <f t="shared" si="66"/>
        <v>2.1177761301952259E+17</v>
      </c>
      <c r="Q309" s="187">
        <f t="shared" si="67"/>
        <v>11112</v>
      </c>
      <c r="R309" s="219">
        <f t="shared" si="68"/>
        <v>40.447679999999998</v>
      </c>
      <c r="S309" s="219">
        <f t="shared" si="69"/>
        <v>131.1216</v>
      </c>
      <c r="T309" s="219">
        <f t="shared" si="70"/>
        <v>552.822</v>
      </c>
      <c r="U309" s="219">
        <f t="shared" si="71"/>
        <v>1.6895996422299655</v>
      </c>
      <c r="V309" s="188">
        <f t="shared" si="72"/>
        <v>1.6980753814335288E+16</v>
      </c>
      <c r="W309" s="323">
        <v>2.0710000000000002</v>
      </c>
      <c r="X309" s="323">
        <v>1.702</v>
      </c>
      <c r="Y309" s="323">
        <v>0.5585</v>
      </c>
      <c r="Z309" s="323">
        <v>0.1852</v>
      </c>
      <c r="AA309" s="323">
        <v>23.56</v>
      </c>
      <c r="AB309" s="323">
        <v>18.32</v>
      </c>
      <c r="AC309" s="323">
        <v>8.5400000000000009</v>
      </c>
      <c r="AD309" s="323">
        <v>3.64</v>
      </c>
      <c r="AE309" s="323">
        <v>0.08</v>
      </c>
      <c r="AF309" s="323">
        <v>0.09</v>
      </c>
      <c r="AG309" s="323">
        <v>0.23</v>
      </c>
      <c r="AH309" s="323">
        <v>11.8</v>
      </c>
      <c r="AI309" s="323">
        <v>0.52</v>
      </c>
      <c r="AJ309" s="323">
        <v>0.52</v>
      </c>
      <c r="AK309" s="323">
        <v>2.93</v>
      </c>
      <c r="AL309" s="323">
        <v>49.75</v>
      </c>
      <c r="AM309" s="323">
        <v>4.1478180925544748E-2</v>
      </c>
      <c r="AN309" s="323">
        <v>2.7859739447284457E-2</v>
      </c>
      <c r="AO309" s="323">
        <v>2.211117837717989E-2</v>
      </c>
      <c r="AP309" s="323">
        <v>3.0285803656404396E-2</v>
      </c>
      <c r="AQ309" s="323">
        <v>9.9638180925544745E-2</v>
      </c>
      <c r="AR309" s="323">
        <v>8.365973944728447E-2</v>
      </c>
      <c r="AS309" s="323">
        <v>8.4008678377179888E-2</v>
      </c>
      <c r="AT309" s="323">
        <v>0.15205180365640439</v>
      </c>
      <c r="AU309" s="190">
        <v>261610604962978.53</v>
      </c>
      <c r="AV309" s="190">
        <v>175716560569473.03</v>
      </c>
      <c r="AW309" s="190">
        <v>1115674530101855.5</v>
      </c>
      <c r="AX309" s="190">
        <v>1528145591642844.5</v>
      </c>
      <c r="AY309" s="203">
        <v>8.4</v>
      </c>
      <c r="AZ309" s="239">
        <v>231.35</v>
      </c>
      <c r="BA309" s="203">
        <v>1985</v>
      </c>
      <c r="BB309" s="204">
        <v>39296</v>
      </c>
      <c r="BC309" s="203" t="s">
        <v>741</v>
      </c>
    </row>
    <row r="310" spans="1:55" x14ac:dyDescent="0.2">
      <c r="A310" s="184" t="s">
        <v>1513</v>
      </c>
      <c r="B310" s="184" t="s">
        <v>1512</v>
      </c>
      <c r="C310" s="184" t="s">
        <v>769</v>
      </c>
      <c r="D310" s="185" t="s">
        <v>1043</v>
      </c>
      <c r="E310" s="184" t="s">
        <v>1351</v>
      </c>
      <c r="F310" s="184" t="s">
        <v>1351</v>
      </c>
      <c r="G310" s="186">
        <f>IF(ALECA_Input!$F$13="ICAO (3000ft)",'Aircraft Calc'!C$211,'Aircraft Calc'!G$211)</f>
        <v>0.7</v>
      </c>
      <c r="H310" s="186">
        <f>IF(ALECA_Input!$F$13="ICAO (3000ft)",'Aircraft Calc'!D$211,'Aircraft Calc'!H$211)</f>
        <v>2.2000000000000002</v>
      </c>
      <c r="I310" s="186">
        <f>IF(ALECA_Input!$F$13="ICAO (3000ft)",'Aircraft Calc'!E$211,'Aircraft Calc'!I$211)</f>
        <v>4</v>
      </c>
      <c r="J310" s="189">
        <v>1</v>
      </c>
      <c r="K310" s="187">
        <f t="shared" si="61"/>
        <v>498.11400000000003</v>
      </c>
      <c r="L310" s="187">
        <f t="shared" si="62"/>
        <v>9.5204064000000006</v>
      </c>
      <c r="M310" s="187">
        <f t="shared" si="63"/>
        <v>6.0043800000000001E-2</v>
      </c>
      <c r="N310" s="187">
        <f t="shared" si="64"/>
        <v>0.50797656000000002</v>
      </c>
      <c r="O310" s="187">
        <f t="shared" si="65"/>
        <v>4.6499350377232331E-2</v>
      </c>
      <c r="P310" s="188">
        <f t="shared" si="66"/>
        <v>2.4586917978629747E+17</v>
      </c>
      <c r="Q310" s="187">
        <f t="shared" si="67"/>
        <v>11556</v>
      </c>
      <c r="R310" s="219">
        <f t="shared" si="68"/>
        <v>42.87276</v>
      </c>
      <c r="S310" s="219">
        <f t="shared" si="69"/>
        <v>119.83572000000001</v>
      </c>
      <c r="T310" s="219">
        <f t="shared" si="70"/>
        <v>528.57143999999994</v>
      </c>
      <c r="U310" s="219">
        <f t="shared" si="71"/>
        <v>1.6072540636980637</v>
      </c>
      <c r="V310" s="188">
        <f t="shared" si="72"/>
        <v>1.5242496414650326E+16</v>
      </c>
      <c r="W310" s="323">
        <v>2.359</v>
      </c>
      <c r="X310" s="323">
        <v>1.907</v>
      </c>
      <c r="Y310" s="323">
        <v>0.61380000000000001</v>
      </c>
      <c r="Z310" s="323">
        <v>0.19259999999999999</v>
      </c>
      <c r="AA310" s="323">
        <v>28.72</v>
      </c>
      <c r="AB310" s="323">
        <v>21.32</v>
      </c>
      <c r="AC310" s="323">
        <v>8.8800000000000008</v>
      </c>
      <c r="AD310" s="323">
        <v>3.71</v>
      </c>
      <c r="AE310" s="323">
        <v>0.08</v>
      </c>
      <c r="AF310" s="323">
        <v>0.09</v>
      </c>
      <c r="AG310" s="323">
        <v>0.2</v>
      </c>
      <c r="AH310" s="323">
        <v>10.370000000000001</v>
      </c>
      <c r="AI310" s="323">
        <v>0.52</v>
      </c>
      <c r="AJ310" s="323">
        <v>0.52</v>
      </c>
      <c r="AK310" s="323">
        <v>2.21</v>
      </c>
      <c r="AL310" s="323">
        <v>45.74</v>
      </c>
      <c r="AM310" s="323">
        <v>4.8702856086635757E-2</v>
      </c>
      <c r="AN310" s="323">
        <v>3.9617593399479338E-2</v>
      </c>
      <c r="AO310" s="323">
        <v>2.0521332416843816E-2</v>
      </c>
      <c r="AP310" s="323">
        <v>2.6141044591386636E-2</v>
      </c>
      <c r="AQ310" s="323">
        <v>0.10686285608663576</v>
      </c>
      <c r="AR310" s="323">
        <v>9.5417593399479333E-2</v>
      </c>
      <c r="AS310" s="323">
        <v>8.0731332416843812E-2</v>
      </c>
      <c r="AT310" s="323">
        <v>0.13908394459138662</v>
      </c>
      <c r="AU310" s="190">
        <v>307177975502847.5</v>
      </c>
      <c r="AV310" s="190">
        <v>249875533235646</v>
      </c>
      <c r="AW310" s="190">
        <v>1035454895739767.4</v>
      </c>
      <c r="AX310" s="190">
        <v>1319011458519412.3</v>
      </c>
      <c r="AY310" s="203">
        <v>10.6</v>
      </c>
      <c r="AZ310" s="239">
        <v>254.79</v>
      </c>
      <c r="BA310" s="203">
        <v>1985</v>
      </c>
      <c r="BB310" s="204">
        <v>39296</v>
      </c>
      <c r="BC310" s="203" t="s">
        <v>741</v>
      </c>
    </row>
    <row r="311" spans="1:55" x14ac:dyDescent="0.2">
      <c r="A311" s="184" t="s">
        <v>1515</v>
      </c>
      <c r="B311" s="184" t="s">
        <v>1514</v>
      </c>
      <c r="C311" s="184" t="s">
        <v>769</v>
      </c>
      <c r="D311" s="185" t="s">
        <v>1043</v>
      </c>
      <c r="E311" s="184" t="s">
        <v>1360</v>
      </c>
      <c r="F311" s="184" t="s">
        <v>1360</v>
      </c>
      <c r="G311" s="186">
        <f>IF(ALECA_Input!$F$13="ICAO (3000ft)",'Aircraft Calc'!C$211,'Aircraft Calc'!G$211)</f>
        <v>0.7</v>
      </c>
      <c r="H311" s="186">
        <f>IF(ALECA_Input!$F$13="ICAO (3000ft)",'Aircraft Calc'!D$211,'Aircraft Calc'!H$211)</f>
        <v>2.2000000000000002</v>
      </c>
      <c r="I311" s="186">
        <f>IF(ALECA_Input!$F$13="ICAO (3000ft)",'Aircraft Calc'!E$211,'Aircraft Calc'!I$211)</f>
        <v>4</v>
      </c>
      <c r="J311" s="189">
        <v>1</v>
      </c>
      <c r="K311" s="187">
        <f t="shared" si="61"/>
        <v>527.6400000000001</v>
      </c>
      <c r="L311" s="187">
        <f t="shared" si="62"/>
        <v>10.9856856</v>
      </c>
      <c r="M311" s="187">
        <f t="shared" si="63"/>
        <v>5.8119600000000007E-2</v>
      </c>
      <c r="N311" s="187">
        <f t="shared" si="64"/>
        <v>0.49042079999999999</v>
      </c>
      <c r="O311" s="187">
        <f t="shared" si="65"/>
        <v>5.0709852591838189E-2</v>
      </c>
      <c r="P311" s="188">
        <f t="shared" si="66"/>
        <v>2.7067492189739133E+17</v>
      </c>
      <c r="Q311" s="187">
        <f t="shared" si="67"/>
        <v>11778</v>
      </c>
      <c r="R311" s="219">
        <f t="shared" si="68"/>
        <v>44.167500000000004</v>
      </c>
      <c r="S311" s="219">
        <f t="shared" si="69"/>
        <v>114.71772000000001</v>
      </c>
      <c r="T311" s="219">
        <f t="shared" si="70"/>
        <v>516.93642</v>
      </c>
      <c r="U311" s="219">
        <f t="shared" si="71"/>
        <v>1.8997941740798792</v>
      </c>
      <c r="V311" s="188">
        <f t="shared" si="72"/>
        <v>3.1048256791956732E+16</v>
      </c>
      <c r="W311" s="323">
        <v>2.54</v>
      </c>
      <c r="X311" s="323">
        <v>2.02</v>
      </c>
      <c r="Y311" s="323">
        <v>0.64300000000000002</v>
      </c>
      <c r="Z311" s="323">
        <v>0.1963</v>
      </c>
      <c r="AA311" s="323">
        <v>32.160000000000004</v>
      </c>
      <c r="AB311" s="323">
        <v>23.09</v>
      </c>
      <c r="AC311" s="323">
        <v>9.06</v>
      </c>
      <c r="AD311" s="323">
        <v>3.75</v>
      </c>
      <c r="AE311" s="323">
        <v>7.0000000000000007E-2</v>
      </c>
      <c r="AF311" s="323">
        <v>0.08</v>
      </c>
      <c r="AG311" s="323">
        <v>0.19</v>
      </c>
      <c r="AH311" s="323">
        <v>9.74</v>
      </c>
      <c r="AI311" s="323">
        <v>0.52</v>
      </c>
      <c r="AJ311" s="323">
        <v>0.52</v>
      </c>
      <c r="AK311" s="323">
        <v>1.92</v>
      </c>
      <c r="AL311" s="323">
        <v>43.89</v>
      </c>
      <c r="AM311" s="323">
        <v>5.2355946203929402E-2</v>
      </c>
      <c r="AN311" s="323">
        <v>4.4986399760859809E-2</v>
      </c>
      <c r="AO311" s="323">
        <v>2.0521332416843816E-2</v>
      </c>
      <c r="AP311" s="323">
        <v>5.2244435530640093E-2</v>
      </c>
      <c r="AQ311" s="323">
        <v>0.10936594620392942</v>
      </c>
      <c r="AR311" s="323">
        <v>0.10002639976085981</v>
      </c>
      <c r="AS311" s="323">
        <v>8.0168832416843805E-2</v>
      </c>
      <c r="AT311" s="323">
        <v>0.1613002355306401</v>
      </c>
      <c r="AU311" s="190">
        <v>330218694604897.06</v>
      </c>
      <c r="AV311" s="190">
        <v>283737593933318.38</v>
      </c>
      <c r="AW311" s="190">
        <v>1035454895739767.4</v>
      </c>
      <c r="AX311" s="190">
        <v>2636123008316924</v>
      </c>
      <c r="AY311" s="203">
        <v>12.1</v>
      </c>
      <c r="AZ311" s="239">
        <v>267.03000000000003</v>
      </c>
      <c r="BA311" s="203">
        <v>1985</v>
      </c>
      <c r="BB311" s="204">
        <v>39296</v>
      </c>
      <c r="BC311" s="203" t="s">
        <v>741</v>
      </c>
    </row>
    <row r="312" spans="1:55" x14ac:dyDescent="0.2">
      <c r="A312" s="184" t="s">
        <v>1517</v>
      </c>
      <c r="B312" s="184" t="s">
        <v>1516</v>
      </c>
      <c r="C312" s="184" t="s">
        <v>769</v>
      </c>
      <c r="D312" s="185" t="s">
        <v>1043</v>
      </c>
      <c r="E312" s="184" t="s">
        <v>1489</v>
      </c>
      <c r="F312" s="184" t="s">
        <v>1489</v>
      </c>
      <c r="G312" s="186">
        <f>IF(ALECA_Input!$F$13="ICAO (3000ft)",'Aircraft Calc'!C$211,'Aircraft Calc'!G$211)</f>
        <v>0.7</v>
      </c>
      <c r="H312" s="186">
        <f>IF(ALECA_Input!$F$13="ICAO (3000ft)",'Aircraft Calc'!D$211,'Aircraft Calc'!H$211)</f>
        <v>2.2000000000000002</v>
      </c>
      <c r="I312" s="186">
        <f>IF(ALECA_Input!$F$13="ICAO (3000ft)",'Aircraft Calc'!E$211,'Aircraft Calc'!I$211)</f>
        <v>4</v>
      </c>
      <c r="J312" s="189">
        <v>1</v>
      </c>
      <c r="K312" s="187">
        <f t="shared" si="61"/>
        <v>521.43600000000004</v>
      </c>
      <c r="L312" s="187">
        <f t="shared" si="62"/>
        <v>10.023129960000002</v>
      </c>
      <c r="M312" s="187">
        <f t="shared" si="63"/>
        <v>3.7008600000000003E-2</v>
      </c>
      <c r="N312" s="187">
        <f t="shared" si="64"/>
        <v>0.33592632</v>
      </c>
      <c r="O312" s="187">
        <f t="shared" si="65"/>
        <v>4.3847572755625716E-2</v>
      </c>
      <c r="P312" s="188">
        <f t="shared" si="66"/>
        <v>1.1716840497005024E+17</v>
      </c>
      <c r="Q312" s="187">
        <f t="shared" si="67"/>
        <v>12060</v>
      </c>
      <c r="R312" s="219">
        <f t="shared" si="68"/>
        <v>56.440799999999996</v>
      </c>
      <c r="S312" s="219">
        <f t="shared" si="69"/>
        <v>19.175400000000003</v>
      </c>
      <c r="T312" s="219">
        <f t="shared" si="70"/>
        <v>238.30560000000003</v>
      </c>
      <c r="U312" s="219">
        <f t="shared" si="71"/>
        <v>0.74952537311872691</v>
      </c>
      <c r="V312" s="188">
        <f t="shared" si="72"/>
        <v>2056422956320298.8</v>
      </c>
      <c r="W312" s="323">
        <v>2.444</v>
      </c>
      <c r="X312" s="323">
        <v>1.9890000000000001</v>
      </c>
      <c r="Y312" s="323">
        <v>0.65100000000000002</v>
      </c>
      <c r="Z312" s="323">
        <v>0.20100000000000001</v>
      </c>
      <c r="AA312" s="323">
        <v>26.42</v>
      </c>
      <c r="AB312" s="323">
        <v>20.45</v>
      </c>
      <c r="AC312" s="323">
        <v>12.43</v>
      </c>
      <c r="AD312" s="323">
        <v>4.68</v>
      </c>
      <c r="AE312" s="323">
        <v>0.05</v>
      </c>
      <c r="AF312" s="323">
        <v>0.05</v>
      </c>
      <c r="AG312" s="323">
        <v>0.12</v>
      </c>
      <c r="AH312" s="323">
        <v>1.59</v>
      </c>
      <c r="AI312" s="323">
        <v>0.05</v>
      </c>
      <c r="AJ312" s="323">
        <v>0.04</v>
      </c>
      <c r="AK312" s="323">
        <v>2.0499999999999998</v>
      </c>
      <c r="AL312" s="323">
        <v>19.760000000000002</v>
      </c>
      <c r="AM312" s="323">
        <v>4.7341668630839308E-2</v>
      </c>
      <c r="AN312" s="323">
        <v>3.9617593399479338E-2</v>
      </c>
      <c r="AO312" s="323">
        <v>2.6529075919150928E-3</v>
      </c>
      <c r="AP312" s="323">
        <v>3.3793992635760151E-3</v>
      </c>
      <c r="AQ312" s="323">
        <v>0.10205166863083931</v>
      </c>
      <c r="AR312" s="323">
        <v>9.2377593399479332E-2</v>
      </c>
      <c r="AS312" s="323">
        <v>5.8362907591915092E-2</v>
      </c>
      <c r="AT312" s="323">
        <v>6.2149699263576025E-2</v>
      </c>
      <c r="AU312" s="190">
        <v>298592712942318.5</v>
      </c>
      <c r="AV312" s="190">
        <v>249875533235646</v>
      </c>
      <c r="AW312" s="190">
        <v>133859054480253.08</v>
      </c>
      <c r="AX312" s="190">
        <v>170515999694883.81</v>
      </c>
      <c r="AY312" s="203">
        <v>11.5</v>
      </c>
      <c r="AZ312" s="239">
        <v>257.37</v>
      </c>
      <c r="BA312" s="203">
        <v>1995</v>
      </c>
      <c r="BB312" s="204">
        <v>39296</v>
      </c>
      <c r="BC312" s="203" t="s">
        <v>3094</v>
      </c>
    </row>
    <row r="313" spans="1:55" x14ac:dyDescent="0.2">
      <c r="A313" s="184" t="s">
        <v>1519</v>
      </c>
      <c r="B313" s="184" t="s">
        <v>1518</v>
      </c>
      <c r="C313" s="184" t="s">
        <v>769</v>
      </c>
      <c r="D313" s="185" t="s">
        <v>1043</v>
      </c>
      <c r="E313" s="184" t="s">
        <v>1498</v>
      </c>
      <c r="F313" s="184" t="s">
        <v>1498</v>
      </c>
      <c r="G313" s="186">
        <f>IF(ALECA_Input!$F$13="ICAO (3000ft)",'Aircraft Calc'!C$211,'Aircraft Calc'!G$211)</f>
        <v>0.7</v>
      </c>
      <c r="H313" s="186">
        <f>IF(ALECA_Input!$F$13="ICAO (3000ft)",'Aircraft Calc'!D$211,'Aircraft Calc'!H$211)</f>
        <v>2.2000000000000002</v>
      </c>
      <c r="I313" s="186">
        <f>IF(ALECA_Input!$F$13="ICAO (3000ft)",'Aircraft Calc'!E$211,'Aircraft Calc'!I$211)</f>
        <v>4</v>
      </c>
      <c r="J313" s="189">
        <v>1</v>
      </c>
      <c r="K313" s="187">
        <f t="shared" si="61"/>
        <v>503.18400000000003</v>
      </c>
      <c r="L313" s="187">
        <f t="shared" si="62"/>
        <v>9.3057991199999996</v>
      </c>
      <c r="M313" s="187">
        <f t="shared" si="63"/>
        <v>3.5743200000000003E-2</v>
      </c>
      <c r="N313" s="187">
        <f t="shared" si="64"/>
        <v>0.34369536000000001</v>
      </c>
      <c r="O313" s="187">
        <f t="shared" si="65"/>
        <v>4.0948612038052661E-2</v>
      </c>
      <c r="P313" s="188">
        <f t="shared" si="66"/>
        <v>1.0451496499954934E+17</v>
      </c>
      <c r="Q313" s="187">
        <f t="shared" si="67"/>
        <v>11820</v>
      </c>
      <c r="R313" s="219">
        <f t="shared" si="68"/>
        <v>54.372</v>
      </c>
      <c r="S313" s="219">
        <f t="shared" si="69"/>
        <v>20.212199999999999</v>
      </c>
      <c r="T313" s="219">
        <f t="shared" si="70"/>
        <v>243.72840000000002</v>
      </c>
      <c r="U313" s="219">
        <f t="shared" si="71"/>
        <v>0.74336097329546869</v>
      </c>
      <c r="V313" s="188">
        <f t="shared" si="72"/>
        <v>2015499116393526.8</v>
      </c>
      <c r="W313" s="323">
        <v>2.34</v>
      </c>
      <c r="X313" s="323">
        <v>1.9219999999999999</v>
      </c>
      <c r="Y313" s="323">
        <v>0.63</v>
      </c>
      <c r="Z313" s="323">
        <v>0.19700000000000001</v>
      </c>
      <c r="AA313" s="323">
        <v>24.93</v>
      </c>
      <c r="AB313" s="323">
        <v>19.68</v>
      </c>
      <c r="AC313" s="323">
        <v>12.32</v>
      </c>
      <c r="AD313" s="323">
        <v>4.5999999999999996</v>
      </c>
      <c r="AE313" s="323">
        <v>0.05</v>
      </c>
      <c r="AF313" s="323">
        <v>0.05</v>
      </c>
      <c r="AG313" s="323">
        <v>0.12</v>
      </c>
      <c r="AH313" s="323">
        <v>1.71</v>
      </c>
      <c r="AI313" s="323">
        <v>0.04</v>
      </c>
      <c r="AJ313" s="323">
        <v>0.04</v>
      </c>
      <c r="AK313" s="323">
        <v>2.1800000000000002</v>
      </c>
      <c r="AL313" s="323">
        <v>20.62</v>
      </c>
      <c r="AM313" s="323">
        <v>4.6199933253433315E-2</v>
      </c>
      <c r="AN313" s="323">
        <v>3.4770004138711529E-2</v>
      </c>
      <c r="AO313" s="323">
        <v>2.6529075919150928E-3</v>
      </c>
      <c r="AP313" s="323">
        <v>3.3793992635760151E-3</v>
      </c>
      <c r="AQ313" s="323">
        <v>0.10090993325343331</v>
      </c>
      <c r="AR313" s="323">
        <v>8.7530004138711537E-2</v>
      </c>
      <c r="AS313" s="323">
        <v>5.8362907591915092E-2</v>
      </c>
      <c r="AT313" s="323">
        <v>6.2890099263576027E-2</v>
      </c>
      <c r="AU313" s="190">
        <v>291391575473754.56</v>
      </c>
      <c r="AV313" s="190">
        <v>219300885774660.47</v>
      </c>
      <c r="AW313" s="190">
        <v>133859054480253.08</v>
      </c>
      <c r="AX313" s="190">
        <v>170515999694883.81</v>
      </c>
      <c r="AY313" s="203">
        <v>10.7</v>
      </c>
      <c r="AZ313" s="239">
        <v>249.01</v>
      </c>
      <c r="BA313" s="203">
        <v>1995</v>
      </c>
      <c r="BB313" s="204">
        <v>39296</v>
      </c>
      <c r="BC313" s="203" t="s">
        <v>3094</v>
      </c>
    </row>
    <row r="314" spans="1:55" x14ac:dyDescent="0.2">
      <c r="A314" s="184" t="s">
        <v>1521</v>
      </c>
      <c r="B314" s="184" t="s">
        <v>1520</v>
      </c>
      <c r="C314" s="184" t="s">
        <v>769</v>
      </c>
      <c r="D314" s="185" t="s">
        <v>1043</v>
      </c>
      <c r="E314" s="184" t="s">
        <v>1371</v>
      </c>
      <c r="F314" s="184" t="s">
        <v>1371</v>
      </c>
      <c r="G314" s="186">
        <f>IF(ALECA_Input!$F$13="ICAO (3000ft)",'Aircraft Calc'!C$211,'Aircraft Calc'!G$211)</f>
        <v>0.7</v>
      </c>
      <c r="H314" s="186">
        <f>IF(ALECA_Input!$F$13="ICAO (3000ft)",'Aircraft Calc'!D$211,'Aircraft Calc'!H$211)</f>
        <v>2.2000000000000002</v>
      </c>
      <c r="I314" s="186">
        <f>IF(ALECA_Input!$F$13="ICAO (3000ft)",'Aircraft Calc'!E$211,'Aircraft Calc'!I$211)</f>
        <v>4</v>
      </c>
      <c r="J314" s="189">
        <v>1</v>
      </c>
      <c r="K314" s="187">
        <f t="shared" si="61"/>
        <v>539.29199999999992</v>
      </c>
      <c r="L314" s="187">
        <f t="shared" si="62"/>
        <v>11.551615199999999</v>
      </c>
      <c r="M314" s="187">
        <f t="shared" si="63"/>
        <v>6.0974640000000004E-2</v>
      </c>
      <c r="N314" s="187">
        <f t="shared" si="64"/>
        <v>0.50433744000000003</v>
      </c>
      <c r="O314" s="187">
        <f t="shared" si="65"/>
        <v>5.2270952946482513E-2</v>
      </c>
      <c r="P314" s="188">
        <f t="shared" si="66"/>
        <v>2.7883406413815728E+17</v>
      </c>
      <c r="Q314" s="187">
        <f t="shared" si="67"/>
        <v>11760</v>
      </c>
      <c r="R314" s="219">
        <f t="shared" si="68"/>
        <v>44.688000000000002</v>
      </c>
      <c r="S314" s="219">
        <f t="shared" si="69"/>
        <v>106.19279999999999</v>
      </c>
      <c r="T314" s="219">
        <f t="shared" si="70"/>
        <v>491.33280000000002</v>
      </c>
      <c r="U314" s="219">
        <f t="shared" si="71"/>
        <v>1.8754228770321877</v>
      </c>
      <c r="V314" s="188">
        <f t="shared" si="72"/>
        <v>3.2517010674936644E+16</v>
      </c>
      <c r="W314" s="323">
        <v>2.5960000000000001</v>
      </c>
      <c r="X314" s="323">
        <v>2.0649999999999999</v>
      </c>
      <c r="Y314" s="323">
        <v>0.65700000000000003</v>
      </c>
      <c r="Z314" s="323">
        <v>0.19600000000000001</v>
      </c>
      <c r="AA314" s="323">
        <v>32.65</v>
      </c>
      <c r="AB314" s="323">
        <v>24.02</v>
      </c>
      <c r="AC314" s="323">
        <v>9.16</v>
      </c>
      <c r="AD314" s="323">
        <v>3.8000000000000003</v>
      </c>
      <c r="AE314" s="323">
        <v>7.0000000000000007E-2</v>
      </c>
      <c r="AF314" s="323">
        <v>0.08</v>
      </c>
      <c r="AG314" s="323">
        <v>0.2</v>
      </c>
      <c r="AH314" s="323">
        <v>9.0299999999999994</v>
      </c>
      <c r="AI314" s="323">
        <v>0.52</v>
      </c>
      <c r="AJ314" s="323">
        <v>0.52</v>
      </c>
      <c r="AK314" s="323">
        <v>1.94</v>
      </c>
      <c r="AL314" s="323">
        <v>41.78</v>
      </c>
      <c r="AM314" s="323">
        <v>5.2355946203929402E-2</v>
      </c>
      <c r="AN314" s="323">
        <v>4.6276489120580189E-2</v>
      </c>
      <c r="AO314" s="323">
        <v>2.0521332416843816E-2</v>
      </c>
      <c r="AP314" s="323">
        <v>5.4799634441512549E-2</v>
      </c>
      <c r="AQ314" s="323">
        <v>0.10936594620392942</v>
      </c>
      <c r="AR314" s="323">
        <v>0.10131648912058019</v>
      </c>
      <c r="AS314" s="323">
        <v>8.0731332416843812E-2</v>
      </c>
      <c r="AT314" s="323">
        <v>0.15947473444151256</v>
      </c>
      <c r="AU314" s="190">
        <v>330218694604897.06</v>
      </c>
      <c r="AV314" s="190">
        <v>291874427572637.81</v>
      </c>
      <c r="AW314" s="190">
        <v>1035454895739767.4</v>
      </c>
      <c r="AX314" s="190">
        <v>2765051928140871</v>
      </c>
      <c r="AY314" s="203">
        <v>12.7</v>
      </c>
      <c r="AZ314" s="239">
        <v>269.95999999999998</v>
      </c>
      <c r="BA314" s="203">
        <v>1985</v>
      </c>
      <c r="BB314" s="204">
        <v>39296</v>
      </c>
      <c r="BC314" s="203" t="s">
        <v>741</v>
      </c>
    </row>
    <row r="315" spans="1:55" x14ac:dyDescent="0.2">
      <c r="A315" s="184" t="s">
        <v>1523</v>
      </c>
      <c r="B315" s="184" t="s">
        <v>1522</v>
      </c>
      <c r="C315" s="184" t="s">
        <v>769</v>
      </c>
      <c r="D315" s="185" t="s">
        <v>1043</v>
      </c>
      <c r="E315" s="184" t="s">
        <v>1502</v>
      </c>
      <c r="F315" s="184" t="s">
        <v>1502</v>
      </c>
      <c r="G315" s="186">
        <f>IF(ALECA_Input!$F$13="ICAO (3000ft)",'Aircraft Calc'!C$211,'Aircraft Calc'!G$211)</f>
        <v>0.7</v>
      </c>
      <c r="H315" s="186">
        <f>IF(ALECA_Input!$F$13="ICAO (3000ft)",'Aircraft Calc'!D$211,'Aircraft Calc'!H$211)</f>
        <v>2.2000000000000002</v>
      </c>
      <c r="I315" s="186">
        <f>IF(ALECA_Input!$F$13="ICAO (3000ft)",'Aircraft Calc'!E$211,'Aircraft Calc'!I$211)</f>
        <v>4</v>
      </c>
      <c r="J315" s="189">
        <v>1</v>
      </c>
      <c r="K315" s="187">
        <f t="shared" si="61"/>
        <v>461.4</v>
      </c>
      <c r="L315" s="187">
        <f t="shared" si="62"/>
        <v>7.8498801600000006</v>
      </c>
      <c r="M315" s="187">
        <f t="shared" si="63"/>
        <v>3.2897999999999997E-2</v>
      </c>
      <c r="N315" s="187">
        <f t="shared" si="64"/>
        <v>0.38160191999999987</v>
      </c>
      <c r="O315" s="187">
        <f t="shared" si="65"/>
        <v>3.3975976718320727E-2</v>
      </c>
      <c r="P315" s="188">
        <f t="shared" si="66"/>
        <v>7.3489154219855936E+16</v>
      </c>
      <c r="Q315" s="187">
        <f t="shared" si="67"/>
        <v>11400</v>
      </c>
      <c r="R315" s="219">
        <f t="shared" si="68"/>
        <v>50.730000000000004</v>
      </c>
      <c r="S315" s="219">
        <f t="shared" si="69"/>
        <v>22.458000000000002</v>
      </c>
      <c r="T315" s="219">
        <f t="shared" si="70"/>
        <v>255.47400000000002</v>
      </c>
      <c r="U315" s="219">
        <f t="shared" si="71"/>
        <v>0.73523501160476656</v>
      </c>
      <c r="V315" s="188">
        <f t="shared" si="72"/>
        <v>1943882396521675.5</v>
      </c>
      <c r="W315" s="323">
        <v>2.1240000000000001</v>
      </c>
      <c r="X315" s="323">
        <v>1.756</v>
      </c>
      <c r="Y315" s="323">
        <v>0.58499999999999996</v>
      </c>
      <c r="Z315" s="323">
        <v>0.19</v>
      </c>
      <c r="AA315" s="323">
        <v>22.02</v>
      </c>
      <c r="AB315" s="323">
        <v>18.25</v>
      </c>
      <c r="AC315" s="323">
        <v>11.79</v>
      </c>
      <c r="AD315" s="323">
        <v>4.45</v>
      </c>
      <c r="AE315" s="323">
        <v>0.05</v>
      </c>
      <c r="AF315" s="323">
        <v>0.05</v>
      </c>
      <c r="AG315" s="323">
        <v>0.12</v>
      </c>
      <c r="AH315" s="323">
        <v>1.97</v>
      </c>
      <c r="AI315" s="323">
        <v>0.04</v>
      </c>
      <c r="AJ315" s="323">
        <v>0.05</v>
      </c>
      <c r="AK315" s="323">
        <v>2.61</v>
      </c>
      <c r="AL315" s="323">
        <v>22.41</v>
      </c>
      <c r="AM315" s="323">
        <v>4.093570302769118E-2</v>
      </c>
      <c r="AN315" s="323">
        <v>2.165785142162617E-2</v>
      </c>
      <c r="AO315" s="323">
        <v>2.6529075919150928E-3</v>
      </c>
      <c r="AP315" s="323">
        <v>3.3793992635760151E-3</v>
      </c>
      <c r="AQ315" s="323">
        <v>9.5645703027691181E-2</v>
      </c>
      <c r="AR315" s="323">
        <v>7.4417851421626185E-2</v>
      </c>
      <c r="AS315" s="323">
        <v>5.8362907591915092E-2</v>
      </c>
      <c r="AT315" s="323">
        <v>6.4494299263576013E-2</v>
      </c>
      <c r="AU315" s="190">
        <v>258189095922086.25</v>
      </c>
      <c r="AV315" s="190">
        <v>136600098803284.59</v>
      </c>
      <c r="AW315" s="190">
        <v>133859054480253.08</v>
      </c>
      <c r="AX315" s="190">
        <v>170515999694883.81</v>
      </c>
      <c r="AY315" s="203">
        <v>9.1999999999999993</v>
      </c>
      <c r="AZ315" s="239">
        <v>231.1</v>
      </c>
      <c r="BA315" s="203">
        <v>1995</v>
      </c>
      <c r="BB315" s="204">
        <v>39296</v>
      </c>
      <c r="BC315" s="203" t="s">
        <v>3094</v>
      </c>
    </row>
    <row r="316" spans="1:55" x14ac:dyDescent="0.2">
      <c r="A316" s="184" t="s">
        <v>1525</v>
      </c>
      <c r="B316" s="184" t="s">
        <v>1524</v>
      </c>
      <c r="C316" s="184" t="s">
        <v>769</v>
      </c>
      <c r="D316" s="185" t="s">
        <v>1043</v>
      </c>
      <c r="E316" s="184" t="s">
        <v>1526</v>
      </c>
      <c r="F316" s="184" t="s">
        <v>1526</v>
      </c>
      <c r="G316" s="186">
        <f>IF(ALECA_Input!$F$13="ICAO (3000ft)",'Aircraft Calc'!C$211,'Aircraft Calc'!G$211)</f>
        <v>0.7</v>
      </c>
      <c r="H316" s="186">
        <f>IF(ALECA_Input!$F$13="ICAO (3000ft)",'Aircraft Calc'!D$211,'Aircraft Calc'!H$211)</f>
        <v>2.2000000000000002</v>
      </c>
      <c r="I316" s="186">
        <f>IF(ALECA_Input!$F$13="ICAO (3000ft)",'Aircraft Calc'!E$211,'Aircraft Calc'!I$211)</f>
        <v>4</v>
      </c>
      <c r="J316" s="189">
        <v>1</v>
      </c>
      <c r="K316" s="187">
        <f t="shared" si="61"/>
        <v>497.14200000000005</v>
      </c>
      <c r="L316" s="187">
        <f t="shared" si="62"/>
        <v>10.25182566</v>
      </c>
      <c r="M316" s="187">
        <f t="shared" si="63"/>
        <v>9.2675880000000002E-2</v>
      </c>
      <c r="N316" s="187">
        <f t="shared" si="64"/>
        <v>0.76982448000000014</v>
      </c>
      <c r="O316" s="187">
        <f t="shared" si="65"/>
        <v>5.8465333570058502E-2</v>
      </c>
      <c r="P316" s="188">
        <f t="shared" si="66"/>
        <v>2.5253275086410982E+17</v>
      </c>
      <c r="Q316" s="187">
        <f t="shared" si="67"/>
        <v>9780.0000000000018</v>
      </c>
      <c r="R316" s="219">
        <f t="shared" si="68"/>
        <v>33.252000000000002</v>
      </c>
      <c r="S316" s="219">
        <f t="shared" si="69"/>
        <v>26.601600000000005</v>
      </c>
      <c r="T316" s="219">
        <f t="shared" si="70"/>
        <v>235.11120000000003</v>
      </c>
      <c r="U316" s="219">
        <f t="shared" si="71"/>
        <v>0.76419165384445176</v>
      </c>
      <c r="V316" s="188">
        <f t="shared" si="72"/>
        <v>6117010880011981</v>
      </c>
      <c r="W316" s="323">
        <v>2.2810000000000001</v>
      </c>
      <c r="X316" s="323">
        <v>1.875</v>
      </c>
      <c r="Y316" s="323">
        <v>0.64100000000000001</v>
      </c>
      <c r="Z316" s="323">
        <v>0.16300000000000001</v>
      </c>
      <c r="AA316" s="323">
        <v>28.03</v>
      </c>
      <c r="AB316" s="323">
        <v>24.3</v>
      </c>
      <c r="AC316" s="323">
        <v>10.09</v>
      </c>
      <c r="AD316" s="323">
        <v>3.4</v>
      </c>
      <c r="AE316" s="323">
        <v>0.14000000000000001</v>
      </c>
      <c r="AF316" s="323">
        <v>0.14000000000000001</v>
      </c>
      <c r="AG316" s="323">
        <v>0.28999999999999998</v>
      </c>
      <c r="AH316" s="323">
        <v>2.72</v>
      </c>
      <c r="AI316" s="323">
        <v>0.44</v>
      </c>
      <c r="AJ316" s="323">
        <v>0.46</v>
      </c>
      <c r="AK316" s="323">
        <v>3.99</v>
      </c>
      <c r="AL316" s="323">
        <v>24.04</v>
      </c>
      <c r="AM316" s="323">
        <v>6.6683047817785904E-2</v>
      </c>
      <c r="AN316" s="323">
        <v>7.7784700461758338E-2</v>
      </c>
      <c r="AO316" s="323">
        <v>1.169950168183694E-2</v>
      </c>
      <c r="AP316" s="323">
        <v>1.2395805914565596E-2</v>
      </c>
      <c r="AQ316" s="323">
        <v>0.1317430478177859</v>
      </c>
      <c r="AR316" s="323">
        <v>0.13738470046175832</v>
      </c>
      <c r="AS316" s="323">
        <v>7.6972001681836946E-2</v>
      </c>
      <c r="AT316" s="323">
        <v>7.8138205914565606E-2</v>
      </c>
      <c r="AU316" s="190">
        <v>420582390334348.69</v>
      </c>
      <c r="AV316" s="190">
        <v>490602579249861.81</v>
      </c>
      <c r="AW316" s="190">
        <v>590327472315118</v>
      </c>
      <c r="AX316" s="190">
        <v>625461235175049.13</v>
      </c>
      <c r="AY316" s="203">
        <v>11.1</v>
      </c>
      <c r="AZ316" s="239">
        <v>224.2</v>
      </c>
      <c r="BA316" s="203">
        <v>1987</v>
      </c>
      <c r="BB316" s="204">
        <v>39296</v>
      </c>
      <c r="BC316" s="203" t="s">
        <v>1527</v>
      </c>
    </row>
    <row r="317" spans="1:55" x14ac:dyDescent="0.2">
      <c r="A317" s="184" t="s">
        <v>1529</v>
      </c>
      <c r="B317" s="184" t="s">
        <v>1528</v>
      </c>
      <c r="C317" s="184" t="s">
        <v>769</v>
      </c>
      <c r="D317" s="185" t="s">
        <v>1043</v>
      </c>
      <c r="E317" s="184" t="s">
        <v>1530</v>
      </c>
      <c r="F317" s="184" t="s">
        <v>1530</v>
      </c>
      <c r="G317" s="186">
        <f>IF(ALECA_Input!$F$13="ICAO (3000ft)",'Aircraft Calc'!C$211,'Aircraft Calc'!G$211)</f>
        <v>0.7</v>
      </c>
      <c r="H317" s="186">
        <f>IF(ALECA_Input!$F$13="ICAO (3000ft)",'Aircraft Calc'!D$211,'Aircraft Calc'!H$211)</f>
        <v>2.2000000000000002</v>
      </c>
      <c r="I317" s="186">
        <f>IF(ALECA_Input!$F$13="ICAO (3000ft)",'Aircraft Calc'!E$211,'Aircraft Calc'!I$211)</f>
        <v>4</v>
      </c>
      <c r="J317" s="189">
        <v>1</v>
      </c>
      <c r="K317" s="187">
        <f t="shared" si="61"/>
        <v>153.95400000000001</v>
      </c>
      <c r="L317" s="187">
        <f t="shared" si="62"/>
        <v>2.0655000599999997</v>
      </c>
      <c r="M317" s="187">
        <f t="shared" si="63"/>
        <v>4.9318799999999996E-3</v>
      </c>
      <c r="N317" s="187">
        <f t="shared" si="64"/>
        <v>0.24898218</v>
      </c>
      <c r="O317" s="187">
        <f t="shared" si="65"/>
        <v>1.3984597291833673E-2</v>
      </c>
      <c r="P317" s="188">
        <f t="shared" si="66"/>
        <v>4.3920938956350696E+16</v>
      </c>
      <c r="Q317" s="187">
        <f t="shared" si="67"/>
        <v>4020.0000000000005</v>
      </c>
      <c r="R317" s="219">
        <f t="shared" si="68"/>
        <v>19.135200000000001</v>
      </c>
      <c r="S317" s="219">
        <f t="shared" si="69"/>
        <v>0.48240000000000005</v>
      </c>
      <c r="T317" s="219">
        <f t="shared" si="70"/>
        <v>67.174200000000013</v>
      </c>
      <c r="U317" s="219">
        <f t="shared" si="71"/>
        <v>0.21338079303957563</v>
      </c>
      <c r="V317" s="188">
        <f t="shared" si="72"/>
        <v>685474318773433</v>
      </c>
      <c r="W317" s="323">
        <v>0.72099999999999997</v>
      </c>
      <c r="X317" s="323">
        <v>0.58599999999999997</v>
      </c>
      <c r="Y317" s="323">
        <v>0.193</v>
      </c>
      <c r="Z317" s="323">
        <v>6.7000000000000004E-2</v>
      </c>
      <c r="AA317" s="323">
        <v>16.71</v>
      </c>
      <c r="AB317" s="323">
        <v>13.52</v>
      </c>
      <c r="AC317" s="323">
        <v>11.09</v>
      </c>
      <c r="AD317" s="323">
        <v>4.76</v>
      </c>
      <c r="AE317" s="323">
        <v>0.02</v>
      </c>
      <c r="AF317" s="323">
        <v>0.02</v>
      </c>
      <c r="AG317" s="323">
        <v>0.06</v>
      </c>
      <c r="AH317" s="323">
        <v>0.12</v>
      </c>
      <c r="AI317" s="323">
        <v>0.77</v>
      </c>
      <c r="AJ317" s="323">
        <v>0.56999999999999995</v>
      </c>
      <c r="AK317" s="323">
        <v>3.92</v>
      </c>
      <c r="AL317" s="323">
        <v>16.71</v>
      </c>
      <c r="AM317" s="323">
        <v>0.10344806725792982</v>
      </c>
      <c r="AN317" s="323">
        <v>3.6818165780736566E-2</v>
      </c>
      <c r="AO317" s="323">
        <v>2.6529075919150928E-3</v>
      </c>
      <c r="AP317" s="323">
        <v>3.3793992635760151E-3</v>
      </c>
      <c r="AQ317" s="323">
        <v>0.15470806725792982</v>
      </c>
      <c r="AR317" s="323">
        <v>8.729816578073657E-2</v>
      </c>
      <c r="AS317" s="323">
        <v>5.4987907591915103E-2</v>
      </c>
      <c r="AT317" s="323">
        <v>5.3079799263576019E-2</v>
      </c>
      <c r="AU317" s="190">
        <v>652466208828623.63</v>
      </c>
      <c r="AV317" s="190">
        <v>232219022353358.56</v>
      </c>
      <c r="AW317" s="190">
        <v>133859054480253.08</v>
      </c>
      <c r="AX317" s="190">
        <v>170515999694883.81</v>
      </c>
      <c r="AY317" s="203">
        <v>2.6</v>
      </c>
      <c r="AZ317" s="239">
        <v>64.53</v>
      </c>
      <c r="BA317" s="203">
        <v>2002</v>
      </c>
      <c r="BB317" s="204">
        <v>39296</v>
      </c>
      <c r="BC317" s="203" t="s">
        <v>3090</v>
      </c>
    </row>
    <row r="318" spans="1:55" x14ac:dyDescent="0.2">
      <c r="A318" s="184" t="s">
        <v>1532</v>
      </c>
      <c r="B318" s="184" t="s">
        <v>1531</v>
      </c>
      <c r="C318" s="184" t="s">
        <v>769</v>
      </c>
      <c r="D318" s="185" t="s">
        <v>1043</v>
      </c>
      <c r="E318" s="184" t="s">
        <v>1533</v>
      </c>
      <c r="F318" s="184" t="s">
        <v>1533</v>
      </c>
      <c r="G318" s="186">
        <f>IF(ALECA_Input!$F$13="ICAO (3000ft)",'Aircraft Calc'!C$211,'Aircraft Calc'!G$211)</f>
        <v>0.7</v>
      </c>
      <c r="H318" s="186">
        <f>IF(ALECA_Input!$F$13="ICAO (3000ft)",'Aircraft Calc'!D$211,'Aircraft Calc'!H$211)</f>
        <v>2.2000000000000002</v>
      </c>
      <c r="I318" s="186">
        <f>IF(ALECA_Input!$F$13="ICAO (3000ft)",'Aircraft Calc'!E$211,'Aircraft Calc'!I$211)</f>
        <v>4</v>
      </c>
      <c r="J318" s="189">
        <v>1</v>
      </c>
      <c r="K318" s="187">
        <f t="shared" si="61"/>
        <v>132.096</v>
      </c>
      <c r="L318" s="187">
        <f t="shared" si="62"/>
        <v>1.5703812000000001</v>
      </c>
      <c r="M318" s="187">
        <f t="shared" si="63"/>
        <v>5.3499600000000008E-3</v>
      </c>
      <c r="N318" s="187">
        <f t="shared" si="64"/>
        <v>0.23553912000000002</v>
      </c>
      <c r="O318" s="187">
        <f t="shared" si="65"/>
        <v>8.2282527433699942E-3</v>
      </c>
      <c r="P318" s="188">
        <f t="shared" si="66"/>
        <v>1.3580936778205116E+16</v>
      </c>
      <c r="Q318" s="187">
        <f t="shared" si="67"/>
        <v>3780.0000000000005</v>
      </c>
      <c r="R318" s="219">
        <f t="shared" si="68"/>
        <v>17.010000000000002</v>
      </c>
      <c r="S318" s="219">
        <f t="shared" si="69"/>
        <v>0.6048</v>
      </c>
      <c r="T318" s="219">
        <f t="shared" si="70"/>
        <v>73.785600000000002</v>
      </c>
      <c r="U318" s="219">
        <f t="shared" si="71"/>
        <v>0.20157454521631737</v>
      </c>
      <c r="V318" s="188">
        <f t="shared" si="72"/>
        <v>644550478846660.88</v>
      </c>
      <c r="W318" s="323">
        <v>0.60599999999999998</v>
      </c>
      <c r="X318" s="323">
        <v>0.497</v>
      </c>
      <c r="Y318" s="323">
        <v>0.17100000000000001</v>
      </c>
      <c r="Z318" s="323">
        <v>6.3E-2</v>
      </c>
      <c r="AA318" s="323">
        <v>13.89</v>
      </c>
      <c r="AB318" s="323">
        <v>12.03</v>
      </c>
      <c r="AC318" s="323">
        <v>10.42</v>
      </c>
      <c r="AD318" s="323">
        <v>4.5</v>
      </c>
      <c r="AE318" s="323">
        <v>0.02</v>
      </c>
      <c r="AF318" s="323">
        <v>0.03</v>
      </c>
      <c r="AG318" s="323">
        <v>7.0000000000000007E-2</v>
      </c>
      <c r="AH318" s="323">
        <v>0.16</v>
      </c>
      <c r="AI318" s="323">
        <v>0.6</v>
      </c>
      <c r="AJ318" s="323">
        <v>0.57999999999999996</v>
      </c>
      <c r="AK318" s="323">
        <v>4.4400000000000004</v>
      </c>
      <c r="AL318" s="323">
        <v>19.52</v>
      </c>
      <c r="AM318" s="323">
        <v>3.843991669630948E-2</v>
      </c>
      <c r="AN318" s="323">
        <v>4.6319245174582272E-3</v>
      </c>
      <c r="AO318" s="323">
        <v>2.6529075919150928E-3</v>
      </c>
      <c r="AP318" s="323">
        <v>3.3793992635760151E-3</v>
      </c>
      <c r="AQ318" s="323">
        <v>8.9699916696309473E-2</v>
      </c>
      <c r="AR318" s="323">
        <v>5.5871924517458225E-2</v>
      </c>
      <c r="AS318" s="323">
        <v>5.5550407591915096E-2</v>
      </c>
      <c r="AT318" s="323">
        <v>5.3326599263576024E-2</v>
      </c>
      <c r="AU318" s="190">
        <v>242447707137869.13</v>
      </c>
      <c r="AV318" s="190">
        <v>29214409796086.898</v>
      </c>
      <c r="AW318" s="190">
        <v>133859054480253.08</v>
      </c>
      <c r="AX318" s="190">
        <v>170515999694883.81</v>
      </c>
      <c r="AY318" s="203">
        <v>2</v>
      </c>
      <c r="AZ318" s="239">
        <v>56.35</v>
      </c>
      <c r="BA318" s="203">
        <v>2002</v>
      </c>
      <c r="BB318" s="204">
        <v>39296</v>
      </c>
      <c r="BC318" s="203" t="s">
        <v>3090</v>
      </c>
    </row>
    <row r="319" spans="1:55" x14ac:dyDescent="0.2">
      <c r="A319" s="184" t="s">
        <v>1535</v>
      </c>
      <c r="B319" s="184" t="s">
        <v>1534</v>
      </c>
      <c r="C319" s="184" t="s">
        <v>769</v>
      </c>
      <c r="D319" s="185" t="s">
        <v>1043</v>
      </c>
      <c r="E319" s="184" t="s">
        <v>1536</v>
      </c>
      <c r="F319" s="184" t="s">
        <v>1536</v>
      </c>
      <c r="G319" s="186">
        <f>IF(ALECA_Input!$F$13="ICAO (3000ft)",'Aircraft Calc'!C$211,'Aircraft Calc'!G$211)</f>
        <v>0.7</v>
      </c>
      <c r="H319" s="186">
        <f>IF(ALECA_Input!$F$13="ICAO (3000ft)",'Aircraft Calc'!D$211,'Aircraft Calc'!H$211)</f>
        <v>2.2000000000000002</v>
      </c>
      <c r="I319" s="186">
        <f>IF(ALECA_Input!$F$13="ICAO (3000ft)",'Aircraft Calc'!E$211,'Aircraft Calc'!I$211)</f>
        <v>4</v>
      </c>
      <c r="J319" s="189">
        <v>1</v>
      </c>
      <c r="K319" s="187">
        <f t="shared" si="61"/>
        <v>139.572</v>
      </c>
      <c r="L319" s="187">
        <f t="shared" si="62"/>
        <v>1.7287306800000002</v>
      </c>
      <c r="M319" s="187">
        <f t="shared" si="63"/>
        <v>4.5098400000000002E-3</v>
      </c>
      <c r="N319" s="187">
        <f t="shared" si="64"/>
        <v>0.23997180000000001</v>
      </c>
      <c r="O319" s="187">
        <f t="shared" si="65"/>
        <v>9.3541155254934765E-3</v>
      </c>
      <c r="P319" s="188">
        <f t="shared" si="66"/>
        <v>1.8956342951516404E+16</v>
      </c>
      <c r="Q319" s="187">
        <f t="shared" si="67"/>
        <v>3840</v>
      </c>
      <c r="R319" s="219">
        <f t="shared" si="68"/>
        <v>17.625599999999999</v>
      </c>
      <c r="S319" s="219">
        <f t="shared" si="69"/>
        <v>0.53760000000000008</v>
      </c>
      <c r="T319" s="219">
        <f t="shared" si="70"/>
        <v>70.502399999999994</v>
      </c>
      <c r="U319" s="219">
        <f t="shared" si="71"/>
        <v>0.20430028517213195</v>
      </c>
      <c r="V319" s="188">
        <f t="shared" si="72"/>
        <v>654781438828353.88</v>
      </c>
      <c r="W319" s="323">
        <v>0.64400000000000002</v>
      </c>
      <c r="X319" s="323">
        <v>0.52700000000000002</v>
      </c>
      <c r="Y319" s="323">
        <v>0.17899999999999999</v>
      </c>
      <c r="Z319" s="323">
        <v>6.4000000000000001E-2</v>
      </c>
      <c r="AA319" s="323">
        <v>14.61</v>
      </c>
      <c r="AB319" s="323">
        <v>12.55</v>
      </c>
      <c r="AC319" s="323">
        <v>10.72</v>
      </c>
      <c r="AD319" s="323">
        <v>4.59</v>
      </c>
      <c r="AE319" s="323">
        <v>0.02</v>
      </c>
      <c r="AF319" s="323">
        <v>0.02</v>
      </c>
      <c r="AG319" s="323">
        <v>0.06</v>
      </c>
      <c r="AH319" s="323">
        <v>0.14000000000000001</v>
      </c>
      <c r="AI319" s="323">
        <v>0.64</v>
      </c>
      <c r="AJ319" s="323">
        <v>0.56999999999999995</v>
      </c>
      <c r="AK319" s="323">
        <v>4.26</v>
      </c>
      <c r="AL319" s="323">
        <v>18.36</v>
      </c>
      <c r="AM319" s="323">
        <v>5.1583612830734996E-2</v>
      </c>
      <c r="AN319" s="323">
        <v>1.0041548149891945E-2</v>
      </c>
      <c r="AO319" s="323">
        <v>2.6529075919150928E-3</v>
      </c>
      <c r="AP319" s="323">
        <v>3.3793992635760151E-3</v>
      </c>
      <c r="AQ319" s="323">
        <v>0.102843612830735</v>
      </c>
      <c r="AR319" s="323">
        <v>6.0521548149891941E-2</v>
      </c>
      <c r="AS319" s="323">
        <v>5.4987907591915103E-2</v>
      </c>
      <c r="AT319" s="323">
        <v>5.3203199263576029E-2</v>
      </c>
      <c r="AU319" s="190">
        <v>325347444311708.63</v>
      </c>
      <c r="AV319" s="190">
        <v>63333912617181.836</v>
      </c>
      <c r="AW319" s="190">
        <v>133859054480253.08</v>
      </c>
      <c r="AX319" s="190">
        <v>170515999694883.81</v>
      </c>
      <c r="AY319" s="203">
        <v>2.2000000000000002</v>
      </c>
      <c r="AZ319" s="239">
        <v>59.15</v>
      </c>
      <c r="BA319" s="203">
        <v>2002</v>
      </c>
      <c r="BB319" s="204">
        <v>39296</v>
      </c>
      <c r="BC319" s="203" t="s">
        <v>3090</v>
      </c>
    </row>
    <row r="320" spans="1:55" x14ac:dyDescent="0.2">
      <c r="A320" s="184" t="s">
        <v>1538</v>
      </c>
      <c r="B320" s="184" t="s">
        <v>1537</v>
      </c>
      <c r="C320" s="184" t="s">
        <v>769</v>
      </c>
      <c r="D320" s="185" t="s">
        <v>1043</v>
      </c>
      <c r="E320" s="184" t="s">
        <v>1539</v>
      </c>
      <c r="F320" s="184" t="s">
        <v>1539</v>
      </c>
      <c r="G320" s="186">
        <f>IF(ALECA_Input!$F$13="ICAO (3000ft)",'Aircraft Calc'!C$211,'Aircraft Calc'!G$211)</f>
        <v>0.7</v>
      </c>
      <c r="H320" s="186">
        <f>IF(ALECA_Input!$F$13="ICAO (3000ft)",'Aircraft Calc'!D$211,'Aircraft Calc'!H$211)</f>
        <v>2.2000000000000002</v>
      </c>
      <c r="I320" s="186">
        <f>IF(ALECA_Input!$F$13="ICAO (3000ft)",'Aircraft Calc'!E$211,'Aircraft Calc'!I$211)</f>
        <v>4</v>
      </c>
      <c r="J320" s="189">
        <v>1</v>
      </c>
      <c r="K320" s="187">
        <f t="shared" si="61"/>
        <v>153.95400000000001</v>
      </c>
      <c r="L320" s="187">
        <f t="shared" si="62"/>
        <v>2.0655000599999997</v>
      </c>
      <c r="M320" s="187">
        <f t="shared" si="63"/>
        <v>4.9318799999999996E-3</v>
      </c>
      <c r="N320" s="187">
        <f t="shared" si="64"/>
        <v>0.24898218</v>
      </c>
      <c r="O320" s="187">
        <f t="shared" si="65"/>
        <v>1.3984597291833673E-2</v>
      </c>
      <c r="P320" s="188">
        <f t="shared" si="66"/>
        <v>4.3920938956350696E+16</v>
      </c>
      <c r="Q320" s="187">
        <f t="shared" si="67"/>
        <v>4020.0000000000005</v>
      </c>
      <c r="R320" s="219">
        <f t="shared" si="68"/>
        <v>19.135200000000001</v>
      </c>
      <c r="S320" s="219">
        <f t="shared" si="69"/>
        <v>0.48240000000000005</v>
      </c>
      <c r="T320" s="219">
        <f t="shared" si="70"/>
        <v>67.174200000000013</v>
      </c>
      <c r="U320" s="219">
        <f t="shared" si="71"/>
        <v>0.21338079303957563</v>
      </c>
      <c r="V320" s="188">
        <f t="shared" si="72"/>
        <v>685474318773433</v>
      </c>
      <c r="W320" s="323">
        <v>0.72099999999999997</v>
      </c>
      <c r="X320" s="323">
        <v>0.58599999999999997</v>
      </c>
      <c r="Y320" s="323">
        <v>0.193</v>
      </c>
      <c r="Z320" s="323">
        <v>6.7000000000000004E-2</v>
      </c>
      <c r="AA320" s="323">
        <v>16.71</v>
      </c>
      <c r="AB320" s="323">
        <v>13.52</v>
      </c>
      <c r="AC320" s="323">
        <v>11.09</v>
      </c>
      <c r="AD320" s="323">
        <v>4.76</v>
      </c>
      <c r="AE320" s="323">
        <v>0.02</v>
      </c>
      <c r="AF320" s="323">
        <v>0.02</v>
      </c>
      <c r="AG320" s="323">
        <v>0.06</v>
      </c>
      <c r="AH320" s="323">
        <v>0.12</v>
      </c>
      <c r="AI320" s="323">
        <v>0.77</v>
      </c>
      <c r="AJ320" s="323">
        <v>0.56999999999999995</v>
      </c>
      <c r="AK320" s="323">
        <v>3.92</v>
      </c>
      <c r="AL320" s="323">
        <v>16.71</v>
      </c>
      <c r="AM320" s="323">
        <v>0.10344806725792982</v>
      </c>
      <c r="AN320" s="323">
        <v>3.6818165780736566E-2</v>
      </c>
      <c r="AO320" s="323">
        <v>2.6529075919150928E-3</v>
      </c>
      <c r="AP320" s="323">
        <v>3.3793992635760151E-3</v>
      </c>
      <c r="AQ320" s="323">
        <v>0.15470806725792982</v>
      </c>
      <c r="AR320" s="323">
        <v>8.729816578073657E-2</v>
      </c>
      <c r="AS320" s="323">
        <v>5.4987907591915103E-2</v>
      </c>
      <c r="AT320" s="323">
        <v>5.3079799263576019E-2</v>
      </c>
      <c r="AU320" s="190">
        <v>652466208828623.63</v>
      </c>
      <c r="AV320" s="190">
        <v>232219022353358.56</v>
      </c>
      <c r="AW320" s="190">
        <v>133859054480253.08</v>
      </c>
      <c r="AX320" s="190">
        <v>170515999694883.81</v>
      </c>
      <c r="AY320" s="203">
        <v>2.6</v>
      </c>
      <c r="AZ320" s="239">
        <v>64.53</v>
      </c>
      <c r="BA320" s="203">
        <v>2002</v>
      </c>
      <c r="BB320" s="204">
        <v>39296</v>
      </c>
      <c r="BC320" s="203" t="s">
        <v>3090</v>
      </c>
    </row>
    <row r="321" spans="1:55" x14ac:dyDescent="0.2">
      <c r="A321" s="184" t="s">
        <v>1541</v>
      </c>
      <c r="B321" s="184" t="s">
        <v>1540</v>
      </c>
      <c r="C321" s="184" t="s">
        <v>769</v>
      </c>
      <c r="D321" s="185" t="s">
        <v>1043</v>
      </c>
      <c r="E321" s="184" t="s">
        <v>1542</v>
      </c>
      <c r="F321" s="184" t="s">
        <v>1542</v>
      </c>
      <c r="G321" s="186">
        <f>IF(ALECA_Input!$F$13="ICAO (3000ft)",'Aircraft Calc'!C$211,'Aircraft Calc'!G$211)</f>
        <v>0.7</v>
      </c>
      <c r="H321" s="186">
        <f>IF(ALECA_Input!$F$13="ICAO (3000ft)",'Aircraft Calc'!D$211,'Aircraft Calc'!H$211)</f>
        <v>2.2000000000000002</v>
      </c>
      <c r="I321" s="186">
        <f>IF(ALECA_Input!$F$13="ICAO (3000ft)",'Aircraft Calc'!E$211,'Aircraft Calc'!I$211)</f>
        <v>4</v>
      </c>
      <c r="J321" s="189">
        <v>1</v>
      </c>
      <c r="K321" s="187">
        <f t="shared" si="61"/>
        <v>140.94</v>
      </c>
      <c r="L321" s="187">
        <f t="shared" si="62"/>
        <v>1.7597290800000001</v>
      </c>
      <c r="M321" s="187">
        <f t="shared" si="63"/>
        <v>4.5467999999999993E-3</v>
      </c>
      <c r="N321" s="187">
        <f t="shared" si="64"/>
        <v>0.24036468</v>
      </c>
      <c r="O321" s="187">
        <f t="shared" si="65"/>
        <v>9.6665621426321579E-3</v>
      </c>
      <c r="P321" s="188">
        <f t="shared" si="66"/>
        <v>2.0515098279899984E+16</v>
      </c>
      <c r="Q321" s="187">
        <f t="shared" si="67"/>
        <v>3840</v>
      </c>
      <c r="R321" s="219">
        <f t="shared" si="68"/>
        <v>17.702400000000001</v>
      </c>
      <c r="S321" s="219">
        <f t="shared" si="69"/>
        <v>0.49919999999999998</v>
      </c>
      <c r="T321" s="219">
        <f t="shared" si="70"/>
        <v>69.734399999999994</v>
      </c>
      <c r="U321" s="219">
        <f t="shared" si="71"/>
        <v>0.20406335717213192</v>
      </c>
      <c r="V321" s="188">
        <f t="shared" si="72"/>
        <v>654781438828353.88</v>
      </c>
      <c r="W321" s="323">
        <v>0.65200000000000002</v>
      </c>
      <c r="X321" s="323">
        <v>0.53300000000000003</v>
      </c>
      <c r="Y321" s="323">
        <v>0.18</v>
      </c>
      <c r="Z321" s="323">
        <v>6.4000000000000001E-2</v>
      </c>
      <c r="AA321" s="323">
        <v>14.77</v>
      </c>
      <c r="AB321" s="323">
        <v>12.65</v>
      </c>
      <c r="AC321" s="323">
        <v>10.77</v>
      </c>
      <c r="AD321" s="323">
        <v>4.6100000000000003</v>
      </c>
      <c r="AE321" s="323">
        <v>0.02</v>
      </c>
      <c r="AF321" s="323">
        <v>0.02</v>
      </c>
      <c r="AG321" s="323">
        <v>0.06</v>
      </c>
      <c r="AH321" s="323">
        <v>0.13</v>
      </c>
      <c r="AI321" s="323">
        <v>0.64</v>
      </c>
      <c r="AJ321" s="323">
        <v>0.56999999999999995</v>
      </c>
      <c r="AK321" s="323">
        <v>4.2300000000000004</v>
      </c>
      <c r="AL321" s="323">
        <v>18.16</v>
      </c>
      <c r="AM321" s="323">
        <v>5.4120663473966137E-2</v>
      </c>
      <c r="AN321" s="323">
        <v>1.2134992979850137E-2</v>
      </c>
      <c r="AO321" s="323">
        <v>2.6529075919150928E-3</v>
      </c>
      <c r="AP321" s="323">
        <v>3.3793992635760151E-3</v>
      </c>
      <c r="AQ321" s="323">
        <v>0.10538066347396613</v>
      </c>
      <c r="AR321" s="323">
        <v>6.261499297985014E-2</v>
      </c>
      <c r="AS321" s="323">
        <v>5.4987907591915103E-2</v>
      </c>
      <c r="AT321" s="323">
        <v>5.3141499263576024E-2</v>
      </c>
      <c r="AU321" s="190">
        <v>341349094788831.06</v>
      </c>
      <c r="AV321" s="190">
        <v>76537658688039.453</v>
      </c>
      <c r="AW321" s="190">
        <v>133859054480253.08</v>
      </c>
      <c r="AX321" s="190">
        <v>170515999694883.81</v>
      </c>
      <c r="AY321" s="203">
        <v>2.2000000000000002</v>
      </c>
      <c r="AZ321" s="239">
        <v>59.68</v>
      </c>
      <c r="BA321" s="203">
        <v>2002</v>
      </c>
      <c r="BB321" s="204">
        <v>39296</v>
      </c>
      <c r="BC321" s="203" t="s">
        <v>3090</v>
      </c>
    </row>
    <row r="322" spans="1:55" x14ac:dyDescent="0.2">
      <c r="A322" s="184" t="s">
        <v>1544</v>
      </c>
      <c r="B322" s="184" t="s">
        <v>1543</v>
      </c>
      <c r="C322" s="184" t="s">
        <v>769</v>
      </c>
      <c r="D322" s="185" t="s">
        <v>1043</v>
      </c>
      <c r="E322" s="184" t="s">
        <v>1545</v>
      </c>
      <c r="F322" s="184" t="s">
        <v>1545</v>
      </c>
      <c r="G322" s="186">
        <f>IF(ALECA_Input!$F$13="ICAO (3000ft)",'Aircraft Calc'!C$211,'Aircraft Calc'!G$211)</f>
        <v>0.7</v>
      </c>
      <c r="H322" s="186">
        <f>IF(ALECA_Input!$F$13="ICAO (3000ft)",'Aircraft Calc'!D$211,'Aircraft Calc'!H$211)</f>
        <v>2.2000000000000002</v>
      </c>
      <c r="I322" s="186">
        <f>IF(ALECA_Input!$F$13="ICAO (3000ft)",'Aircraft Calc'!E$211,'Aircraft Calc'!I$211)</f>
        <v>4</v>
      </c>
      <c r="J322" s="189">
        <v>1</v>
      </c>
      <c r="K322" s="187">
        <f t="shared" si="61"/>
        <v>148.458</v>
      </c>
      <c r="L322" s="187">
        <f t="shared" si="62"/>
        <v>1.9351204200000001</v>
      </c>
      <c r="M322" s="187">
        <f t="shared" si="63"/>
        <v>4.7739599999999998E-3</v>
      </c>
      <c r="N322" s="187">
        <f t="shared" si="64"/>
        <v>0.24570173999999997</v>
      </c>
      <c r="O322" s="187">
        <f t="shared" si="65"/>
        <v>1.1976210165146117E-2</v>
      </c>
      <c r="P322" s="188">
        <f t="shared" si="66"/>
        <v>3.288320773180878E+16</v>
      </c>
      <c r="Q322" s="187">
        <f t="shared" si="67"/>
        <v>3960</v>
      </c>
      <c r="R322" s="219">
        <f t="shared" si="68"/>
        <v>18.612000000000002</v>
      </c>
      <c r="S322" s="219">
        <f t="shared" si="69"/>
        <v>0.51480000000000004</v>
      </c>
      <c r="T322" s="219">
        <f t="shared" si="70"/>
        <v>68.507999999999996</v>
      </c>
      <c r="U322" s="219">
        <f t="shared" si="71"/>
        <v>0.21044033708376106</v>
      </c>
      <c r="V322" s="188">
        <f t="shared" si="72"/>
        <v>675243358791739.88</v>
      </c>
      <c r="W322" s="323">
        <v>0.69099999999999995</v>
      </c>
      <c r="X322" s="323">
        <v>0.56299999999999994</v>
      </c>
      <c r="Y322" s="323">
        <v>0.188</v>
      </c>
      <c r="Z322" s="323">
        <v>6.6000000000000003E-2</v>
      </c>
      <c r="AA322" s="323">
        <v>15.81</v>
      </c>
      <c r="AB322" s="323">
        <v>13.15</v>
      </c>
      <c r="AC322" s="323">
        <v>11.06</v>
      </c>
      <c r="AD322" s="323">
        <v>4.7</v>
      </c>
      <c r="AE322" s="323">
        <v>0.02</v>
      </c>
      <c r="AF322" s="323">
        <v>0.02</v>
      </c>
      <c r="AG322" s="323">
        <v>0.06</v>
      </c>
      <c r="AH322" s="323">
        <v>0.13</v>
      </c>
      <c r="AI322" s="323">
        <v>0.71</v>
      </c>
      <c r="AJ322" s="323">
        <v>0.56999999999999995</v>
      </c>
      <c r="AK322" s="323">
        <v>4.05</v>
      </c>
      <c r="AL322" s="323">
        <v>17.3</v>
      </c>
      <c r="AM322" s="323">
        <v>7.8777778347281099E-2</v>
      </c>
      <c r="AN322" s="323">
        <v>2.6504759290114064E-2</v>
      </c>
      <c r="AO322" s="323">
        <v>2.6529075919150928E-3</v>
      </c>
      <c r="AP322" s="323">
        <v>3.3793992635760151E-3</v>
      </c>
      <c r="AQ322" s="323">
        <v>0.13003777834728109</v>
      </c>
      <c r="AR322" s="323">
        <v>7.6984759290114058E-2</v>
      </c>
      <c r="AS322" s="323">
        <v>5.4987907591915103E-2</v>
      </c>
      <c r="AT322" s="323">
        <v>5.3141499263576024E-2</v>
      </c>
      <c r="AU322" s="190">
        <v>496866106256345.44</v>
      </c>
      <c r="AV322" s="190">
        <v>167170448596373.69</v>
      </c>
      <c r="AW322" s="190">
        <v>133859054480253.08</v>
      </c>
      <c r="AX322" s="190">
        <v>170515999694883.81</v>
      </c>
      <c r="AY322" s="203">
        <v>2.4</v>
      </c>
      <c r="AZ322" s="239">
        <v>62.49</v>
      </c>
      <c r="BA322" s="203">
        <v>2002</v>
      </c>
      <c r="BB322" s="204">
        <v>39296</v>
      </c>
      <c r="BC322" s="203" t="s">
        <v>3090</v>
      </c>
    </row>
    <row r="323" spans="1:55" x14ac:dyDescent="0.2">
      <c r="A323" s="184" t="s">
        <v>1547</v>
      </c>
      <c r="B323" s="184" t="s">
        <v>1546</v>
      </c>
      <c r="C323" s="184" t="s">
        <v>769</v>
      </c>
      <c r="D323" s="185" t="s">
        <v>1043</v>
      </c>
      <c r="E323" s="184" t="s">
        <v>1548</v>
      </c>
      <c r="F323" s="184" t="s">
        <v>1548</v>
      </c>
      <c r="G323" s="186">
        <f>IF(ALECA_Input!$F$13="ICAO (3000ft)",'Aircraft Calc'!C$211,'Aircraft Calc'!G$211)</f>
        <v>0.7</v>
      </c>
      <c r="H323" s="186">
        <f>IF(ALECA_Input!$F$13="ICAO (3000ft)",'Aircraft Calc'!D$211,'Aircraft Calc'!H$211)</f>
        <v>2.2000000000000002</v>
      </c>
      <c r="I323" s="186">
        <f>IF(ALECA_Input!$F$13="ICAO (3000ft)",'Aircraft Calc'!E$211,'Aircraft Calc'!I$211)</f>
        <v>4</v>
      </c>
      <c r="J323" s="189">
        <v>1</v>
      </c>
      <c r="K323" s="187">
        <f t="shared" si="61"/>
        <v>554.29199999999992</v>
      </c>
      <c r="L323" s="187">
        <f t="shared" si="62"/>
        <v>11.11413804</v>
      </c>
      <c r="M323" s="187">
        <f t="shared" si="63"/>
        <v>3.4885079999999992E-2</v>
      </c>
      <c r="N323" s="187">
        <f t="shared" si="64"/>
        <v>0.33505547999999991</v>
      </c>
      <c r="O323" s="187">
        <f t="shared" si="65"/>
        <v>4.7629587956337149E-2</v>
      </c>
      <c r="P323" s="188">
        <f t="shared" si="66"/>
        <v>1.3285950794419525E+17</v>
      </c>
      <c r="Q323" s="187">
        <f t="shared" si="67"/>
        <v>13200</v>
      </c>
      <c r="R323" s="219">
        <f t="shared" si="68"/>
        <v>64.680000000000007</v>
      </c>
      <c r="S323" s="219">
        <f t="shared" si="69"/>
        <v>15.575999999999999</v>
      </c>
      <c r="T323" s="219">
        <f t="shared" si="70"/>
        <v>223.87199999999999</v>
      </c>
      <c r="U323" s="219">
        <f t="shared" si="71"/>
        <v>0.7869839902792034</v>
      </c>
      <c r="V323" s="188">
        <f t="shared" si="72"/>
        <v>2250811195972466.3</v>
      </c>
      <c r="W323" s="323">
        <v>2.63</v>
      </c>
      <c r="X323" s="323">
        <v>2.1059999999999999</v>
      </c>
      <c r="Y323" s="323">
        <v>0.69099999999999995</v>
      </c>
      <c r="Z323" s="323">
        <v>0.22</v>
      </c>
      <c r="AA323" s="323">
        <v>28.11</v>
      </c>
      <c r="AB323" s="323">
        <v>21.27</v>
      </c>
      <c r="AC323" s="323">
        <v>12.64</v>
      </c>
      <c r="AD323" s="323">
        <v>4.9000000000000004</v>
      </c>
      <c r="AE323" s="323">
        <v>0.05</v>
      </c>
      <c r="AF323" s="323">
        <v>0.04</v>
      </c>
      <c r="AG323" s="323">
        <v>0.11</v>
      </c>
      <c r="AH323" s="323">
        <v>1.18</v>
      </c>
      <c r="AI323" s="323">
        <v>0.05</v>
      </c>
      <c r="AJ323" s="323">
        <v>0.04</v>
      </c>
      <c r="AK323" s="323">
        <v>1.92</v>
      </c>
      <c r="AL323" s="323">
        <v>16.96</v>
      </c>
      <c r="AM323" s="323">
        <v>4.911070392034176E-2</v>
      </c>
      <c r="AN323" s="323">
        <v>4.3599633824905018E-2</v>
      </c>
      <c r="AO323" s="323">
        <v>2.6529075919150928E-3</v>
      </c>
      <c r="AP323" s="323">
        <v>3.3793992635760151E-3</v>
      </c>
      <c r="AQ323" s="323">
        <v>0.10382070392034176</v>
      </c>
      <c r="AR323" s="323">
        <v>9.5599633824905023E-2</v>
      </c>
      <c r="AS323" s="323">
        <v>5.7800407591915098E-2</v>
      </c>
      <c r="AT323" s="323">
        <v>5.9619999263576022E-2</v>
      </c>
      <c r="AU323" s="190">
        <v>309750347678478.75</v>
      </c>
      <c r="AV323" s="190">
        <v>274991003139030.34</v>
      </c>
      <c r="AW323" s="190">
        <v>133859054480253.08</v>
      </c>
      <c r="AX323" s="190">
        <v>170515999694883.81</v>
      </c>
      <c r="AY323" s="203">
        <v>12.8</v>
      </c>
      <c r="AZ323" s="239">
        <v>271.88</v>
      </c>
      <c r="BA323" s="203">
        <v>1995</v>
      </c>
      <c r="BB323" s="204">
        <v>39296</v>
      </c>
      <c r="BC323" s="203" t="s">
        <v>3095</v>
      </c>
    </row>
    <row r="324" spans="1:55" x14ac:dyDescent="0.2">
      <c r="A324" s="184" t="s">
        <v>1550</v>
      </c>
      <c r="B324" s="184" t="s">
        <v>1549</v>
      </c>
      <c r="C324" s="184" t="s">
        <v>769</v>
      </c>
      <c r="D324" s="185" t="s">
        <v>1043</v>
      </c>
      <c r="E324" s="184" t="s">
        <v>1374</v>
      </c>
      <c r="F324" s="184" t="s">
        <v>1374</v>
      </c>
      <c r="G324" s="186">
        <f>IF(ALECA_Input!$F$13="ICAO (3000ft)",'Aircraft Calc'!C$211,'Aircraft Calc'!G$211)</f>
        <v>0.7</v>
      </c>
      <c r="H324" s="186">
        <f>IF(ALECA_Input!$F$13="ICAO (3000ft)",'Aircraft Calc'!D$211,'Aircraft Calc'!H$211)</f>
        <v>2.2000000000000002</v>
      </c>
      <c r="I324" s="186">
        <f>IF(ALECA_Input!$F$13="ICAO (3000ft)",'Aircraft Calc'!E$211,'Aircraft Calc'!I$211)</f>
        <v>4</v>
      </c>
      <c r="J324" s="189">
        <v>1</v>
      </c>
      <c r="K324" s="187">
        <f t="shared" si="61"/>
        <v>575.11199999999997</v>
      </c>
      <c r="L324" s="187">
        <f t="shared" si="62"/>
        <v>13.852986959999997</v>
      </c>
      <c r="M324" s="187">
        <f t="shared" si="63"/>
        <v>4.9983360000000004E-2</v>
      </c>
      <c r="N324" s="187">
        <f t="shared" si="64"/>
        <v>0.43312703999999996</v>
      </c>
      <c r="O324" s="187">
        <f t="shared" si="65"/>
        <v>5.4256110319076213E-2</v>
      </c>
      <c r="P324" s="188">
        <f t="shared" si="66"/>
        <v>1.6231306046890189E+17</v>
      </c>
      <c r="Q324" s="187">
        <f t="shared" si="67"/>
        <v>13560</v>
      </c>
      <c r="R324" s="219">
        <f t="shared" si="68"/>
        <v>60.613199999999999</v>
      </c>
      <c r="S324" s="219">
        <f t="shared" si="69"/>
        <v>131.26079999999999</v>
      </c>
      <c r="T324" s="219">
        <f t="shared" si="70"/>
        <v>586.33440000000007</v>
      </c>
      <c r="U324" s="219">
        <f t="shared" si="71"/>
        <v>1.519601390014091</v>
      </c>
      <c r="V324" s="188">
        <f t="shared" si="72"/>
        <v>2312196955862624.5</v>
      </c>
      <c r="W324" s="323">
        <v>2.702</v>
      </c>
      <c r="X324" s="323">
        <v>2.1989999999999998</v>
      </c>
      <c r="Y324" s="323">
        <v>0.71399999999999997</v>
      </c>
      <c r="Z324" s="323">
        <v>0.22600000000000001</v>
      </c>
      <c r="AA324" s="323">
        <v>37.869999999999997</v>
      </c>
      <c r="AB324" s="323">
        <v>27.11</v>
      </c>
      <c r="AC324" s="323">
        <v>9.84</v>
      </c>
      <c r="AD324" s="323">
        <v>4.47</v>
      </c>
      <c r="AE324" s="323">
        <v>0.05</v>
      </c>
      <c r="AF324" s="323">
        <v>7.0000000000000007E-2</v>
      </c>
      <c r="AG324" s="323">
        <v>0.14000000000000001</v>
      </c>
      <c r="AH324" s="323">
        <v>9.68</v>
      </c>
      <c r="AI324" s="323">
        <v>0.38</v>
      </c>
      <c r="AJ324" s="323">
        <v>0.34</v>
      </c>
      <c r="AK324" s="323">
        <v>1.7</v>
      </c>
      <c r="AL324" s="323">
        <v>43.24</v>
      </c>
      <c r="AM324" s="323">
        <v>5.8680718144463656E-2</v>
      </c>
      <c r="AN324" s="323">
        <v>5.3186996762369036E-2</v>
      </c>
      <c r="AO324" s="323">
        <v>2.6529075919150928E-3</v>
      </c>
      <c r="AP324" s="323">
        <v>3.3793992635760151E-3</v>
      </c>
      <c r="AQ324" s="323">
        <v>0.11339071814446366</v>
      </c>
      <c r="AR324" s="323">
        <v>0.10746699676236904</v>
      </c>
      <c r="AS324" s="323">
        <v>5.9487907591915093E-2</v>
      </c>
      <c r="AT324" s="323">
        <v>0.11206499926357602</v>
      </c>
      <c r="AU324" s="190">
        <v>370110208087278.88</v>
      </c>
      <c r="AV324" s="190">
        <v>335460285110962.88</v>
      </c>
      <c r="AW324" s="190">
        <v>133859054480253.08</v>
      </c>
      <c r="AX324" s="190">
        <v>170515999694883.81</v>
      </c>
      <c r="AY324" s="203">
        <v>15.4</v>
      </c>
      <c r="AZ324" s="239">
        <v>281.5</v>
      </c>
      <c r="BA324" s="203">
        <v>1992</v>
      </c>
      <c r="BB324" s="204">
        <v>39296</v>
      </c>
      <c r="BC324" s="203" t="s">
        <v>3107</v>
      </c>
    </row>
    <row r="325" spans="1:55" x14ac:dyDescent="0.2">
      <c r="A325" s="184" t="s">
        <v>1552</v>
      </c>
      <c r="B325" s="184" t="s">
        <v>1551</v>
      </c>
      <c r="C325" s="184" t="s">
        <v>769</v>
      </c>
      <c r="D325" s="185" t="s">
        <v>1043</v>
      </c>
      <c r="E325" s="184" t="s">
        <v>1377</v>
      </c>
      <c r="F325" s="184" t="s">
        <v>1377</v>
      </c>
      <c r="G325" s="186">
        <f>IF(ALECA_Input!$F$13="ICAO (3000ft)",'Aircraft Calc'!C$211,'Aircraft Calc'!G$211)</f>
        <v>0.7</v>
      </c>
      <c r="H325" s="186">
        <f>IF(ALECA_Input!$F$13="ICAO (3000ft)",'Aircraft Calc'!D$211,'Aircraft Calc'!H$211)</f>
        <v>2.2000000000000002</v>
      </c>
      <c r="I325" s="186">
        <f>IF(ALECA_Input!$F$13="ICAO (3000ft)",'Aircraft Calc'!E$211,'Aircraft Calc'!I$211)</f>
        <v>4</v>
      </c>
      <c r="J325" s="189">
        <v>1</v>
      </c>
      <c r="K325" s="187">
        <f t="shared" si="61"/>
        <v>586.31400000000008</v>
      </c>
      <c r="L325" s="187">
        <f t="shared" si="62"/>
        <v>14.591456460000002</v>
      </c>
      <c r="M325" s="187">
        <f t="shared" si="63"/>
        <v>5.0880900000000007E-2</v>
      </c>
      <c r="N325" s="187">
        <f t="shared" si="64"/>
        <v>0.42467052</v>
      </c>
      <c r="O325" s="187">
        <f t="shared" si="65"/>
        <v>5.5880938343940992E-2</v>
      </c>
      <c r="P325" s="188">
        <f t="shared" si="66"/>
        <v>1.6896112731890054E+17</v>
      </c>
      <c r="Q325" s="187">
        <f t="shared" si="67"/>
        <v>13680</v>
      </c>
      <c r="R325" s="219">
        <f t="shared" si="68"/>
        <v>61.970400000000005</v>
      </c>
      <c r="S325" s="219">
        <f t="shared" si="69"/>
        <v>128.1816</v>
      </c>
      <c r="T325" s="219">
        <f t="shared" si="70"/>
        <v>583.72559999999999</v>
      </c>
      <c r="U325" s="219">
        <f t="shared" si="71"/>
        <v>1.5068834539257199</v>
      </c>
      <c r="V325" s="188">
        <f t="shared" si="72"/>
        <v>2332658875826010.5</v>
      </c>
      <c r="W325" s="323">
        <v>2.7669999999999999</v>
      </c>
      <c r="X325" s="323">
        <v>2.2450000000000001</v>
      </c>
      <c r="Y325" s="323">
        <v>0.72399999999999998</v>
      </c>
      <c r="Z325" s="323">
        <v>0.22800000000000001</v>
      </c>
      <c r="AA325" s="323">
        <v>39.29</v>
      </c>
      <c r="AB325" s="323">
        <v>28.02</v>
      </c>
      <c r="AC325" s="323">
        <v>9.91</v>
      </c>
      <c r="AD325" s="323">
        <v>4.53</v>
      </c>
      <c r="AE325" s="323">
        <v>0.05</v>
      </c>
      <c r="AF325" s="323">
        <v>7.0000000000000007E-2</v>
      </c>
      <c r="AG325" s="323">
        <v>0.14000000000000001</v>
      </c>
      <c r="AH325" s="323">
        <v>9.370000000000001</v>
      </c>
      <c r="AI325" s="323">
        <v>0.38</v>
      </c>
      <c r="AJ325" s="323">
        <v>0.34</v>
      </c>
      <c r="AK325" s="323">
        <v>1.61</v>
      </c>
      <c r="AL325" s="323">
        <v>42.67</v>
      </c>
      <c r="AM325" s="323">
        <v>5.9567239528638273E-2</v>
      </c>
      <c r="AN325" s="323">
        <v>5.459394346422574E-2</v>
      </c>
      <c r="AO325" s="323">
        <v>2.6529075919150928E-3</v>
      </c>
      <c r="AP325" s="323">
        <v>3.3793992635760151E-3</v>
      </c>
      <c r="AQ325" s="323">
        <v>0.11427723952863827</v>
      </c>
      <c r="AR325" s="323">
        <v>0.10887394346422574</v>
      </c>
      <c r="AS325" s="323">
        <v>5.9487907591915093E-2</v>
      </c>
      <c r="AT325" s="323">
        <v>0.11015229926357602</v>
      </c>
      <c r="AU325" s="190">
        <v>375701663412739.06</v>
      </c>
      <c r="AV325" s="190">
        <v>344334159750839.38</v>
      </c>
      <c r="AW325" s="190">
        <v>133859054480253.08</v>
      </c>
      <c r="AX325" s="190">
        <v>170515999694883.81</v>
      </c>
      <c r="AY325" s="203">
        <v>16.2</v>
      </c>
      <c r="AZ325" s="239">
        <v>287</v>
      </c>
      <c r="BA325" s="203">
        <v>1992</v>
      </c>
      <c r="BB325" s="204">
        <v>39296</v>
      </c>
      <c r="BC325" s="203" t="s">
        <v>3107</v>
      </c>
    </row>
    <row r="326" spans="1:55" x14ac:dyDescent="0.2">
      <c r="A326" s="184" t="s">
        <v>1554</v>
      </c>
      <c r="B326" s="184" t="s">
        <v>1553</v>
      </c>
      <c r="C326" s="184" t="s">
        <v>769</v>
      </c>
      <c r="D326" s="185" t="s">
        <v>1043</v>
      </c>
      <c r="E326" s="184" t="s">
        <v>1380</v>
      </c>
      <c r="F326" s="184" t="s">
        <v>1380</v>
      </c>
      <c r="G326" s="186">
        <f>IF(ALECA_Input!$F$13="ICAO (3000ft)",'Aircraft Calc'!C$211,'Aircraft Calc'!G$211)</f>
        <v>0.7</v>
      </c>
      <c r="H326" s="186">
        <f>IF(ALECA_Input!$F$13="ICAO (3000ft)",'Aircraft Calc'!D$211,'Aircraft Calc'!H$211)</f>
        <v>2.2000000000000002</v>
      </c>
      <c r="I326" s="186">
        <f>IF(ALECA_Input!$F$13="ICAO (3000ft)",'Aircraft Calc'!E$211,'Aircraft Calc'!I$211)</f>
        <v>4</v>
      </c>
      <c r="J326" s="189">
        <v>1</v>
      </c>
      <c r="K326" s="187">
        <f t="shared" si="61"/>
        <v>609.01199999999994</v>
      </c>
      <c r="L326" s="187">
        <f t="shared" si="62"/>
        <v>16.4187972</v>
      </c>
      <c r="M326" s="187">
        <f t="shared" si="63"/>
        <v>6.1052760000000005E-2</v>
      </c>
      <c r="N326" s="187">
        <f t="shared" si="64"/>
        <v>0.37149912000000002</v>
      </c>
      <c r="O326" s="187">
        <f t="shared" si="65"/>
        <v>6.001054750983538E-2</v>
      </c>
      <c r="P326" s="188">
        <f t="shared" si="66"/>
        <v>1.8428719843086006E+17</v>
      </c>
      <c r="Q326" s="187">
        <f t="shared" si="67"/>
        <v>13620.000000000002</v>
      </c>
      <c r="R326" s="219">
        <f t="shared" si="68"/>
        <v>62.924400000000006</v>
      </c>
      <c r="S326" s="219">
        <f t="shared" si="69"/>
        <v>140.96700000000001</v>
      </c>
      <c r="T326" s="219">
        <f t="shared" si="70"/>
        <v>518.78580000000011</v>
      </c>
      <c r="U326" s="219">
        <f t="shared" si="71"/>
        <v>1.5826290079699057</v>
      </c>
      <c r="V326" s="188">
        <f t="shared" si="72"/>
        <v>2322427915844317.5</v>
      </c>
      <c r="W326" s="323">
        <v>2.9039999999999999</v>
      </c>
      <c r="X326" s="323">
        <v>2.3370000000000002</v>
      </c>
      <c r="Y326" s="323">
        <v>0.74399999999999999</v>
      </c>
      <c r="Z326" s="323">
        <v>0.22700000000000001</v>
      </c>
      <c r="AA326" s="323">
        <v>43.15</v>
      </c>
      <c r="AB326" s="323">
        <v>30.3</v>
      </c>
      <c r="AC326" s="323">
        <v>10.130000000000001</v>
      </c>
      <c r="AD326" s="323">
        <v>4.62</v>
      </c>
      <c r="AE326" s="323">
        <v>0.06</v>
      </c>
      <c r="AF326" s="323">
        <v>7.0000000000000007E-2</v>
      </c>
      <c r="AG326" s="323">
        <v>0.18</v>
      </c>
      <c r="AH326" s="323">
        <v>10.35</v>
      </c>
      <c r="AI326" s="323">
        <v>0.34</v>
      </c>
      <c r="AJ326" s="323">
        <v>0.3</v>
      </c>
      <c r="AK326" s="323">
        <v>1.33</v>
      </c>
      <c r="AL326" s="323">
        <v>38.090000000000003</v>
      </c>
      <c r="AM326" s="323">
        <v>6.0420733537550439E-2</v>
      </c>
      <c r="AN326" s="323">
        <v>5.8543025577064145E-2</v>
      </c>
      <c r="AO326" s="323">
        <v>2.6529075919150928E-3</v>
      </c>
      <c r="AP326" s="323">
        <v>3.3793992635760151E-3</v>
      </c>
      <c r="AQ326" s="323">
        <v>0.11628073353755043</v>
      </c>
      <c r="AR326" s="323">
        <v>0.11282302557706415</v>
      </c>
      <c r="AS326" s="323">
        <v>6.1737907591915095E-2</v>
      </c>
      <c r="AT326" s="323">
        <v>0.11619889926357603</v>
      </c>
      <c r="AU326" s="190">
        <v>381084808936998.94</v>
      </c>
      <c r="AV326" s="190">
        <v>369241755444166.25</v>
      </c>
      <c r="AW326" s="190">
        <v>133859054480253.08</v>
      </c>
      <c r="AX326" s="190">
        <v>170515999694883.81</v>
      </c>
      <c r="AY326" s="203">
        <v>18.100000000000001</v>
      </c>
      <c r="AZ326" s="239">
        <v>297.4427</v>
      </c>
      <c r="BA326" s="203">
        <v>1995</v>
      </c>
      <c r="BB326" s="204">
        <v>39296</v>
      </c>
      <c r="BC326" s="203" t="s">
        <v>3098</v>
      </c>
    </row>
    <row r="327" spans="1:55" x14ac:dyDescent="0.2">
      <c r="A327" s="184" t="s">
        <v>1556</v>
      </c>
      <c r="B327" s="184" t="s">
        <v>1555</v>
      </c>
      <c r="C327" s="184" t="s">
        <v>769</v>
      </c>
      <c r="D327" s="185" t="s">
        <v>1043</v>
      </c>
      <c r="E327" s="184" t="s">
        <v>1450</v>
      </c>
      <c r="F327" s="184" t="s">
        <v>1450</v>
      </c>
      <c r="G327" s="186">
        <f>IF(ALECA_Input!$F$13="ICAO (3000ft)",'Aircraft Calc'!C$211,'Aircraft Calc'!G$211)</f>
        <v>0.7</v>
      </c>
      <c r="H327" s="186">
        <f>IF(ALECA_Input!$F$13="ICAO (3000ft)",'Aircraft Calc'!D$211,'Aircraft Calc'!H$211)</f>
        <v>2.2000000000000002</v>
      </c>
      <c r="I327" s="186">
        <f>IF(ALECA_Input!$F$13="ICAO (3000ft)",'Aircraft Calc'!E$211,'Aircraft Calc'!I$211)</f>
        <v>4</v>
      </c>
      <c r="J327" s="189">
        <v>1</v>
      </c>
      <c r="K327" s="187">
        <f t="shared" si="61"/>
        <v>514.36199999999997</v>
      </c>
      <c r="L327" s="187">
        <f t="shared" si="62"/>
        <v>11.019422339999998</v>
      </c>
      <c r="M327" s="187">
        <f t="shared" si="63"/>
        <v>9.6848280000000009E-2</v>
      </c>
      <c r="N327" s="187">
        <f t="shared" si="64"/>
        <v>0.75019409999999997</v>
      </c>
      <c r="O327" s="187">
        <f t="shared" si="65"/>
        <v>6.0228210757409209E-2</v>
      </c>
      <c r="P327" s="188">
        <f t="shared" si="66"/>
        <v>2.5965124860654074E+17</v>
      </c>
      <c r="Q327" s="187">
        <f t="shared" si="67"/>
        <v>9780.0000000000018</v>
      </c>
      <c r="R327" s="219">
        <f t="shared" si="68"/>
        <v>33.252000000000002</v>
      </c>
      <c r="S327" s="219">
        <f t="shared" si="69"/>
        <v>26.601600000000005</v>
      </c>
      <c r="T327" s="219">
        <f t="shared" si="70"/>
        <v>235.11120000000003</v>
      </c>
      <c r="U327" s="219">
        <f t="shared" si="71"/>
        <v>0.76419165384445176</v>
      </c>
      <c r="V327" s="188">
        <f t="shared" si="72"/>
        <v>6117010880011981</v>
      </c>
      <c r="W327" s="323">
        <v>2.3610000000000002</v>
      </c>
      <c r="X327" s="323">
        <v>1.94</v>
      </c>
      <c r="Y327" s="323">
        <v>0.66300000000000003</v>
      </c>
      <c r="Z327" s="323">
        <v>0.16300000000000001</v>
      </c>
      <c r="AA327" s="323">
        <v>28.97</v>
      </c>
      <c r="AB327" s="323">
        <v>25.5</v>
      </c>
      <c r="AC327" s="323">
        <v>10.16</v>
      </c>
      <c r="AD327" s="323">
        <v>3.4</v>
      </c>
      <c r="AE327" s="323">
        <v>0.14000000000000001</v>
      </c>
      <c r="AF327" s="323">
        <v>0.15</v>
      </c>
      <c r="AG327" s="323">
        <v>0.28000000000000003</v>
      </c>
      <c r="AH327" s="323">
        <v>2.72</v>
      </c>
      <c r="AI327" s="323">
        <v>0.45</v>
      </c>
      <c r="AJ327" s="323">
        <v>0.45</v>
      </c>
      <c r="AK327" s="323">
        <v>3.71</v>
      </c>
      <c r="AL327" s="323">
        <v>24.04</v>
      </c>
      <c r="AM327" s="323">
        <v>6.4431575591891554E-2</v>
      </c>
      <c r="AN327" s="323">
        <v>7.7148336836889084E-2</v>
      </c>
      <c r="AO327" s="323">
        <v>1.1801012075009476E-2</v>
      </c>
      <c r="AP327" s="323">
        <v>1.2395805914565596E-2</v>
      </c>
      <c r="AQ327" s="323">
        <v>0.12949157559189156</v>
      </c>
      <c r="AR327" s="323">
        <v>0.13750833683688907</v>
      </c>
      <c r="AS327" s="323">
        <v>7.651101207500946E-2</v>
      </c>
      <c r="AT327" s="323">
        <v>7.8138205914565606E-2</v>
      </c>
      <c r="AU327" s="190">
        <v>406381936073086.25</v>
      </c>
      <c r="AV327" s="190">
        <v>486588915459318.06</v>
      </c>
      <c r="AW327" s="190">
        <v>595449431817742.5</v>
      </c>
      <c r="AX327" s="190">
        <v>625461235175049.13</v>
      </c>
      <c r="AY327" s="203">
        <v>11.9</v>
      </c>
      <c r="AZ327" s="239">
        <v>230.4</v>
      </c>
      <c r="BA327" s="203">
        <v>1987</v>
      </c>
      <c r="BB327" s="204">
        <v>39296</v>
      </c>
      <c r="BC327" s="203" t="s">
        <v>1415</v>
      </c>
    </row>
    <row r="328" spans="1:55" x14ac:dyDescent="0.2">
      <c r="A328" s="184" t="s">
        <v>1558</v>
      </c>
      <c r="B328" s="184" t="s">
        <v>1557</v>
      </c>
      <c r="C328" s="184" t="s">
        <v>769</v>
      </c>
      <c r="D328" s="185" t="s">
        <v>1043</v>
      </c>
      <c r="E328" s="184" t="s">
        <v>1453</v>
      </c>
      <c r="F328" s="184" t="s">
        <v>1453</v>
      </c>
      <c r="G328" s="186">
        <f>IF(ALECA_Input!$F$13="ICAO (3000ft)",'Aircraft Calc'!C$211,'Aircraft Calc'!G$211)</f>
        <v>0.7</v>
      </c>
      <c r="H328" s="186">
        <f>IF(ALECA_Input!$F$13="ICAO (3000ft)",'Aircraft Calc'!D$211,'Aircraft Calc'!H$211)</f>
        <v>2.2000000000000002</v>
      </c>
      <c r="I328" s="186">
        <f>IF(ALECA_Input!$F$13="ICAO (3000ft)",'Aircraft Calc'!E$211,'Aircraft Calc'!I$211)</f>
        <v>4</v>
      </c>
      <c r="J328" s="189">
        <v>1</v>
      </c>
      <c r="K328" s="187">
        <f t="shared" si="61"/>
        <v>514.36199999999997</v>
      </c>
      <c r="L328" s="187">
        <f t="shared" si="62"/>
        <v>11.019422339999998</v>
      </c>
      <c r="M328" s="187">
        <f t="shared" si="63"/>
        <v>9.6848280000000009E-2</v>
      </c>
      <c r="N328" s="187">
        <f t="shared" si="64"/>
        <v>0.75019409999999997</v>
      </c>
      <c r="O328" s="187">
        <f t="shared" si="65"/>
        <v>6.0228210757409209E-2</v>
      </c>
      <c r="P328" s="188">
        <f t="shared" si="66"/>
        <v>2.5965124860654074E+17</v>
      </c>
      <c r="Q328" s="187">
        <f t="shared" si="67"/>
        <v>9780.0000000000018</v>
      </c>
      <c r="R328" s="219">
        <f t="shared" si="68"/>
        <v>33.252000000000002</v>
      </c>
      <c r="S328" s="219">
        <f t="shared" si="69"/>
        <v>26.601600000000005</v>
      </c>
      <c r="T328" s="219">
        <f t="shared" si="70"/>
        <v>235.11120000000003</v>
      </c>
      <c r="U328" s="219">
        <f t="shared" si="71"/>
        <v>0.76419165384445176</v>
      </c>
      <c r="V328" s="188">
        <f t="shared" si="72"/>
        <v>6117010880011981</v>
      </c>
      <c r="W328" s="323">
        <v>2.3610000000000002</v>
      </c>
      <c r="X328" s="323">
        <v>1.94</v>
      </c>
      <c r="Y328" s="323">
        <v>0.66300000000000003</v>
      </c>
      <c r="Z328" s="323">
        <v>0.16300000000000001</v>
      </c>
      <c r="AA328" s="323">
        <v>28.97</v>
      </c>
      <c r="AB328" s="323">
        <v>25.5</v>
      </c>
      <c r="AC328" s="323">
        <v>10.16</v>
      </c>
      <c r="AD328" s="323">
        <v>3.4</v>
      </c>
      <c r="AE328" s="323">
        <v>0.14000000000000001</v>
      </c>
      <c r="AF328" s="323">
        <v>0.15</v>
      </c>
      <c r="AG328" s="323">
        <v>0.28000000000000003</v>
      </c>
      <c r="AH328" s="323">
        <v>2.72</v>
      </c>
      <c r="AI328" s="323">
        <v>0.45</v>
      </c>
      <c r="AJ328" s="323">
        <v>0.45</v>
      </c>
      <c r="AK328" s="323">
        <v>3.71</v>
      </c>
      <c r="AL328" s="323">
        <v>24.04</v>
      </c>
      <c r="AM328" s="323">
        <v>6.4431575591891554E-2</v>
      </c>
      <c r="AN328" s="323">
        <v>7.7148336836889084E-2</v>
      </c>
      <c r="AO328" s="323">
        <v>1.1801012075009476E-2</v>
      </c>
      <c r="AP328" s="323">
        <v>1.2395805914565596E-2</v>
      </c>
      <c r="AQ328" s="323">
        <v>0.12949157559189156</v>
      </c>
      <c r="AR328" s="323">
        <v>0.13750833683688907</v>
      </c>
      <c r="AS328" s="323">
        <v>7.651101207500946E-2</v>
      </c>
      <c r="AT328" s="323">
        <v>7.8138205914565606E-2</v>
      </c>
      <c r="AU328" s="190">
        <v>406381936073086.25</v>
      </c>
      <c r="AV328" s="190">
        <v>486588915459318.06</v>
      </c>
      <c r="AW328" s="190">
        <v>595449431817742.5</v>
      </c>
      <c r="AX328" s="190">
        <v>625461235175049.13</v>
      </c>
      <c r="AY328" s="203">
        <v>11.9</v>
      </c>
      <c r="AZ328" s="239">
        <v>230.4</v>
      </c>
      <c r="BA328" s="203">
        <v>1987</v>
      </c>
      <c r="BB328" s="204">
        <v>39296</v>
      </c>
      <c r="BC328" s="203" t="s">
        <v>1415</v>
      </c>
    </row>
    <row r="329" spans="1:55" x14ac:dyDescent="0.2">
      <c r="A329" s="184" t="s">
        <v>1560</v>
      </c>
      <c r="B329" s="184" t="s">
        <v>1559</v>
      </c>
      <c r="C329" s="184" t="s">
        <v>769</v>
      </c>
      <c r="D329" s="185" t="s">
        <v>1043</v>
      </c>
      <c r="E329" s="184" t="s">
        <v>1561</v>
      </c>
      <c r="F329" s="184" t="s">
        <v>1561</v>
      </c>
      <c r="G329" s="186">
        <f>IF(ALECA_Input!$F$13="ICAO (3000ft)",'Aircraft Calc'!C$211,'Aircraft Calc'!G$211)</f>
        <v>0.7</v>
      </c>
      <c r="H329" s="186">
        <f>IF(ALECA_Input!$F$13="ICAO (3000ft)",'Aircraft Calc'!D$211,'Aircraft Calc'!H$211)</f>
        <v>2.2000000000000002</v>
      </c>
      <c r="I329" s="186">
        <f>IF(ALECA_Input!$F$13="ICAO (3000ft)",'Aircraft Calc'!E$211,'Aircraft Calc'!I$211)</f>
        <v>4</v>
      </c>
      <c r="J329" s="189">
        <v>1</v>
      </c>
      <c r="K329" s="187">
        <f t="shared" si="61"/>
        <v>524.90400000000011</v>
      </c>
      <c r="L329" s="187">
        <f t="shared" si="62"/>
        <v>11.61766836</v>
      </c>
      <c r="M329" s="187">
        <f t="shared" si="63"/>
        <v>9.4320000000000001E-2</v>
      </c>
      <c r="N329" s="187">
        <f t="shared" si="64"/>
        <v>0.71002056000000002</v>
      </c>
      <c r="O329" s="187">
        <f t="shared" si="65"/>
        <v>6.1198695538873721E-2</v>
      </c>
      <c r="P329" s="188">
        <f t="shared" si="66"/>
        <v>2.6120282061911219E+17</v>
      </c>
      <c r="Q329" s="187">
        <f t="shared" si="67"/>
        <v>9780.0000000000018</v>
      </c>
      <c r="R329" s="219">
        <f t="shared" si="68"/>
        <v>33.252000000000002</v>
      </c>
      <c r="S329" s="219">
        <f t="shared" si="69"/>
        <v>26.601600000000005</v>
      </c>
      <c r="T329" s="219">
        <f t="shared" si="70"/>
        <v>235.11120000000003</v>
      </c>
      <c r="U329" s="219">
        <f t="shared" si="71"/>
        <v>0.76419165384445176</v>
      </c>
      <c r="V329" s="188">
        <f t="shared" si="72"/>
        <v>6117010880011981</v>
      </c>
      <c r="W329" s="323">
        <v>2.41</v>
      </c>
      <c r="X329" s="323">
        <v>1.9970000000000001</v>
      </c>
      <c r="Y329" s="323">
        <v>0.66700000000000004</v>
      </c>
      <c r="Z329" s="323">
        <v>0.16300000000000001</v>
      </c>
      <c r="AA329" s="323">
        <v>29.59</v>
      </c>
      <c r="AB329" s="323">
        <v>26.34</v>
      </c>
      <c r="AC329" s="323">
        <v>10.49</v>
      </c>
      <c r="AD329" s="323">
        <v>3.4</v>
      </c>
      <c r="AE329" s="323">
        <v>0.13</v>
      </c>
      <c r="AF329" s="323">
        <v>0.15</v>
      </c>
      <c r="AG329" s="323">
        <v>0.26</v>
      </c>
      <c r="AH329" s="323">
        <v>2.72</v>
      </c>
      <c r="AI329" s="323">
        <v>0.46</v>
      </c>
      <c r="AJ329" s="323">
        <v>0.44</v>
      </c>
      <c r="AK329" s="323">
        <v>3.42</v>
      </c>
      <c r="AL329" s="323">
        <v>24.04</v>
      </c>
      <c r="AM329" s="323">
        <v>6.5498752166625471E-2</v>
      </c>
      <c r="AN329" s="323">
        <v>7.6574383182828415E-2</v>
      </c>
      <c r="AO329" s="323">
        <v>1.139932346352812E-2</v>
      </c>
      <c r="AP329" s="323">
        <v>1.2395805914565596E-2</v>
      </c>
      <c r="AQ329" s="323">
        <v>0.12940875216662545</v>
      </c>
      <c r="AR329" s="323">
        <v>0.13693438318282841</v>
      </c>
      <c r="AS329" s="323">
        <v>7.4984323463528124E-2</v>
      </c>
      <c r="AT329" s="323">
        <v>7.8138205914565606E-2</v>
      </c>
      <c r="AU329" s="190">
        <v>413112817300004.25</v>
      </c>
      <c r="AV329" s="190">
        <v>482968882967318.25</v>
      </c>
      <c r="AW329" s="190">
        <v>575181233297656</v>
      </c>
      <c r="AX329" s="190">
        <v>625461235175049.13</v>
      </c>
      <c r="AY329" s="203">
        <v>12.5</v>
      </c>
      <c r="AZ329" s="239">
        <v>236.7</v>
      </c>
      <c r="BA329" s="203">
        <v>1987</v>
      </c>
      <c r="BB329" s="204">
        <v>38148</v>
      </c>
      <c r="BC329" s="203" t="s">
        <v>1415</v>
      </c>
    </row>
    <row r="330" spans="1:55" x14ac:dyDescent="0.2">
      <c r="A330" s="184" t="s">
        <v>1563</v>
      </c>
      <c r="B330" s="184" t="s">
        <v>1562</v>
      </c>
      <c r="C330" s="184" t="s">
        <v>769</v>
      </c>
      <c r="D330" s="185" t="s">
        <v>1043</v>
      </c>
      <c r="E330" s="184" t="s">
        <v>1447</v>
      </c>
      <c r="F330" s="184" t="s">
        <v>1447</v>
      </c>
      <c r="G330" s="186">
        <f>IF(ALECA_Input!$F$13="ICAO (3000ft)",'Aircraft Calc'!C$211,'Aircraft Calc'!G$211)</f>
        <v>0.7</v>
      </c>
      <c r="H330" s="186">
        <f>IF(ALECA_Input!$F$13="ICAO (3000ft)",'Aircraft Calc'!D$211,'Aircraft Calc'!H$211)</f>
        <v>2.2000000000000002</v>
      </c>
      <c r="I330" s="186">
        <f>IF(ALECA_Input!$F$13="ICAO (3000ft)",'Aircraft Calc'!E$211,'Aircraft Calc'!I$211)</f>
        <v>4</v>
      </c>
      <c r="J330" s="189">
        <v>1</v>
      </c>
      <c r="K330" s="187">
        <f t="shared" si="61"/>
        <v>497.14200000000005</v>
      </c>
      <c r="L330" s="187">
        <f t="shared" si="62"/>
        <v>10.25182566</v>
      </c>
      <c r="M330" s="187">
        <f t="shared" si="63"/>
        <v>9.2675880000000002E-2</v>
      </c>
      <c r="N330" s="187">
        <f t="shared" si="64"/>
        <v>0.76982448000000014</v>
      </c>
      <c r="O330" s="187">
        <f t="shared" si="65"/>
        <v>5.8465333570058502E-2</v>
      </c>
      <c r="P330" s="188">
        <f t="shared" si="66"/>
        <v>2.5253275086410982E+17</v>
      </c>
      <c r="Q330" s="187">
        <f t="shared" si="67"/>
        <v>9780.0000000000018</v>
      </c>
      <c r="R330" s="219">
        <f t="shared" si="68"/>
        <v>33.252000000000002</v>
      </c>
      <c r="S330" s="219">
        <f t="shared" si="69"/>
        <v>26.601600000000005</v>
      </c>
      <c r="T330" s="219">
        <f t="shared" si="70"/>
        <v>235.11120000000003</v>
      </c>
      <c r="U330" s="219">
        <f t="shared" si="71"/>
        <v>0.76419165384445176</v>
      </c>
      <c r="V330" s="188">
        <f t="shared" si="72"/>
        <v>6117010880011981</v>
      </c>
      <c r="W330" s="323">
        <v>2.2810000000000001</v>
      </c>
      <c r="X330" s="323">
        <v>1.875</v>
      </c>
      <c r="Y330" s="323">
        <v>0.64100000000000001</v>
      </c>
      <c r="Z330" s="323">
        <v>0.16300000000000001</v>
      </c>
      <c r="AA330" s="323">
        <v>28.03</v>
      </c>
      <c r="AB330" s="323">
        <v>24.3</v>
      </c>
      <c r="AC330" s="323">
        <v>10.09</v>
      </c>
      <c r="AD330" s="323">
        <v>3.4</v>
      </c>
      <c r="AE330" s="323">
        <v>0.14000000000000001</v>
      </c>
      <c r="AF330" s="323">
        <v>0.14000000000000001</v>
      </c>
      <c r="AG330" s="323">
        <v>0.28999999999999998</v>
      </c>
      <c r="AH330" s="323">
        <v>2.72</v>
      </c>
      <c r="AI330" s="323">
        <v>0.44</v>
      </c>
      <c r="AJ330" s="323">
        <v>0.46</v>
      </c>
      <c r="AK330" s="323">
        <v>3.99</v>
      </c>
      <c r="AL330" s="323">
        <v>24.04</v>
      </c>
      <c r="AM330" s="323">
        <v>6.6683047817785904E-2</v>
      </c>
      <c r="AN330" s="323">
        <v>7.7784700461758338E-2</v>
      </c>
      <c r="AO330" s="323">
        <v>1.169950168183694E-2</v>
      </c>
      <c r="AP330" s="323">
        <v>1.2395805914565596E-2</v>
      </c>
      <c r="AQ330" s="323">
        <v>0.1317430478177859</v>
      </c>
      <c r="AR330" s="323">
        <v>0.13738470046175832</v>
      </c>
      <c r="AS330" s="323">
        <v>7.6972001681836946E-2</v>
      </c>
      <c r="AT330" s="323">
        <v>7.8138205914565606E-2</v>
      </c>
      <c r="AU330" s="190">
        <v>420582390334348.69</v>
      </c>
      <c r="AV330" s="190">
        <v>490602579249861.81</v>
      </c>
      <c r="AW330" s="190">
        <v>590327472315118</v>
      </c>
      <c r="AX330" s="190">
        <v>625461235175049.13</v>
      </c>
      <c r="AY330" s="203">
        <v>11.1</v>
      </c>
      <c r="AZ330" s="239">
        <v>224.2</v>
      </c>
      <c r="BA330" s="203">
        <v>1987</v>
      </c>
      <c r="BB330" s="204">
        <v>38148</v>
      </c>
      <c r="BC330" s="203" t="s">
        <v>1564</v>
      </c>
    </row>
    <row r="331" spans="1:55" x14ac:dyDescent="0.2">
      <c r="A331" s="184" t="s">
        <v>1566</v>
      </c>
      <c r="B331" s="184" t="s">
        <v>1565</v>
      </c>
      <c r="C331" s="184" t="s">
        <v>769</v>
      </c>
      <c r="D331" s="185" t="s">
        <v>1043</v>
      </c>
      <c r="E331" s="184" t="s">
        <v>1567</v>
      </c>
      <c r="F331" s="184" t="s">
        <v>1567</v>
      </c>
      <c r="G331" s="186">
        <f>IF(ALECA_Input!$F$13="ICAO (3000ft)",'Aircraft Calc'!C$211,'Aircraft Calc'!G$211)</f>
        <v>0.7</v>
      </c>
      <c r="H331" s="186">
        <f>IF(ALECA_Input!$F$13="ICAO (3000ft)",'Aircraft Calc'!D$211,'Aircraft Calc'!H$211)</f>
        <v>2.2000000000000002</v>
      </c>
      <c r="I331" s="186">
        <f>IF(ALECA_Input!$F$13="ICAO (3000ft)",'Aircraft Calc'!E$211,'Aircraft Calc'!I$211)</f>
        <v>4</v>
      </c>
      <c r="J331" s="189">
        <v>1</v>
      </c>
      <c r="K331" s="187">
        <f t="shared" si="61"/>
        <v>514.36199999999997</v>
      </c>
      <c r="L331" s="187">
        <f t="shared" si="62"/>
        <v>11.019422339999998</v>
      </c>
      <c r="M331" s="187">
        <f t="shared" si="63"/>
        <v>9.6848280000000009E-2</v>
      </c>
      <c r="N331" s="187">
        <f t="shared" si="64"/>
        <v>0.75019409999999997</v>
      </c>
      <c r="O331" s="187">
        <f t="shared" si="65"/>
        <v>6.0228210757409209E-2</v>
      </c>
      <c r="P331" s="188">
        <f t="shared" si="66"/>
        <v>2.5965124860654074E+17</v>
      </c>
      <c r="Q331" s="187">
        <f t="shared" si="67"/>
        <v>9780.0000000000018</v>
      </c>
      <c r="R331" s="219">
        <f t="shared" si="68"/>
        <v>33.252000000000002</v>
      </c>
      <c r="S331" s="219">
        <f t="shared" si="69"/>
        <v>26.601600000000005</v>
      </c>
      <c r="T331" s="219">
        <f t="shared" si="70"/>
        <v>235.11120000000003</v>
      </c>
      <c r="U331" s="219">
        <f t="shared" si="71"/>
        <v>0.76419165384445176</v>
      </c>
      <c r="V331" s="188">
        <f t="shared" si="72"/>
        <v>6117010880011981</v>
      </c>
      <c r="W331" s="323">
        <v>2.3610000000000002</v>
      </c>
      <c r="X331" s="323">
        <v>1.94</v>
      </c>
      <c r="Y331" s="323">
        <v>0.66300000000000003</v>
      </c>
      <c r="Z331" s="323">
        <v>0.16300000000000001</v>
      </c>
      <c r="AA331" s="323">
        <v>28.97</v>
      </c>
      <c r="AB331" s="323">
        <v>25.5</v>
      </c>
      <c r="AC331" s="323">
        <v>10.16</v>
      </c>
      <c r="AD331" s="323">
        <v>3.4</v>
      </c>
      <c r="AE331" s="323">
        <v>0.14000000000000001</v>
      </c>
      <c r="AF331" s="323">
        <v>0.15</v>
      </c>
      <c r="AG331" s="323">
        <v>0.28000000000000003</v>
      </c>
      <c r="AH331" s="323">
        <v>2.72</v>
      </c>
      <c r="AI331" s="323">
        <v>0.45</v>
      </c>
      <c r="AJ331" s="323">
        <v>0.45</v>
      </c>
      <c r="AK331" s="323">
        <v>3.71</v>
      </c>
      <c r="AL331" s="323">
        <v>24.04</v>
      </c>
      <c r="AM331" s="323">
        <v>6.4431575591891554E-2</v>
      </c>
      <c r="AN331" s="323">
        <v>7.7148336836889084E-2</v>
      </c>
      <c r="AO331" s="323">
        <v>1.1801012075009476E-2</v>
      </c>
      <c r="AP331" s="323">
        <v>1.2395805914565596E-2</v>
      </c>
      <c r="AQ331" s="323">
        <v>0.12949157559189156</v>
      </c>
      <c r="AR331" s="323">
        <v>0.13750833683688907</v>
      </c>
      <c r="AS331" s="323">
        <v>7.651101207500946E-2</v>
      </c>
      <c r="AT331" s="323">
        <v>7.8138205914565606E-2</v>
      </c>
      <c r="AU331" s="190">
        <v>406381936073086.25</v>
      </c>
      <c r="AV331" s="190">
        <v>486588915459318.06</v>
      </c>
      <c r="AW331" s="190">
        <v>595449431817742.5</v>
      </c>
      <c r="AX331" s="190">
        <v>625461235175049.13</v>
      </c>
      <c r="AY331" s="203">
        <v>11.9</v>
      </c>
      <c r="AZ331" s="239">
        <v>230.4</v>
      </c>
      <c r="BA331" s="203">
        <v>1987</v>
      </c>
      <c r="BB331" s="204">
        <v>39296</v>
      </c>
      <c r="BC331" s="203" t="s">
        <v>1568</v>
      </c>
    </row>
    <row r="332" spans="1:55" x14ac:dyDescent="0.2">
      <c r="A332" s="184" t="s">
        <v>1570</v>
      </c>
      <c r="B332" s="184" t="s">
        <v>1569</v>
      </c>
      <c r="C332" s="184" t="s">
        <v>769</v>
      </c>
      <c r="D332" s="185" t="s">
        <v>1043</v>
      </c>
      <c r="E332" s="184" t="s">
        <v>1457</v>
      </c>
      <c r="F332" s="184" t="s">
        <v>1457</v>
      </c>
      <c r="G332" s="186">
        <f>IF(ALECA_Input!$F$13="ICAO (3000ft)",'Aircraft Calc'!C$211,'Aircraft Calc'!G$211)</f>
        <v>0.7</v>
      </c>
      <c r="H332" s="186">
        <f>IF(ALECA_Input!$F$13="ICAO (3000ft)",'Aircraft Calc'!D$211,'Aircraft Calc'!H$211)</f>
        <v>2.2000000000000002</v>
      </c>
      <c r="I332" s="186">
        <f>IF(ALECA_Input!$F$13="ICAO (3000ft)",'Aircraft Calc'!E$211,'Aircraft Calc'!I$211)</f>
        <v>4</v>
      </c>
      <c r="J332" s="189">
        <v>1</v>
      </c>
      <c r="K332" s="187">
        <f t="shared" si="61"/>
        <v>514.36199999999997</v>
      </c>
      <c r="L332" s="187">
        <f t="shared" si="62"/>
        <v>11.019422339999998</v>
      </c>
      <c r="M332" s="187">
        <f t="shared" si="63"/>
        <v>9.6848280000000009E-2</v>
      </c>
      <c r="N332" s="187">
        <f t="shared" si="64"/>
        <v>0.75019409999999997</v>
      </c>
      <c r="O332" s="187">
        <f t="shared" si="65"/>
        <v>6.0228210757409209E-2</v>
      </c>
      <c r="P332" s="188">
        <f t="shared" si="66"/>
        <v>2.5965124860654074E+17</v>
      </c>
      <c r="Q332" s="187">
        <f t="shared" si="67"/>
        <v>9780.0000000000018</v>
      </c>
      <c r="R332" s="219">
        <f t="shared" si="68"/>
        <v>33.252000000000002</v>
      </c>
      <c r="S332" s="219">
        <f t="shared" si="69"/>
        <v>26.601600000000005</v>
      </c>
      <c r="T332" s="219">
        <f t="shared" si="70"/>
        <v>235.11120000000003</v>
      </c>
      <c r="U332" s="219">
        <f t="shared" si="71"/>
        <v>0.76419165384445176</v>
      </c>
      <c r="V332" s="188">
        <f t="shared" si="72"/>
        <v>6117010880011981</v>
      </c>
      <c r="W332" s="323">
        <v>2.3610000000000002</v>
      </c>
      <c r="X332" s="323">
        <v>1.94</v>
      </c>
      <c r="Y332" s="323">
        <v>0.66300000000000003</v>
      </c>
      <c r="Z332" s="323">
        <v>0.16300000000000001</v>
      </c>
      <c r="AA332" s="323">
        <v>28.97</v>
      </c>
      <c r="AB332" s="323">
        <v>25.5</v>
      </c>
      <c r="AC332" s="323">
        <v>10.16</v>
      </c>
      <c r="AD332" s="323">
        <v>3.4</v>
      </c>
      <c r="AE332" s="323">
        <v>0.14000000000000001</v>
      </c>
      <c r="AF332" s="323">
        <v>0.15</v>
      </c>
      <c r="AG332" s="323">
        <v>0.28000000000000003</v>
      </c>
      <c r="AH332" s="323">
        <v>2.72</v>
      </c>
      <c r="AI332" s="323">
        <v>0.45</v>
      </c>
      <c r="AJ332" s="323">
        <v>0.45</v>
      </c>
      <c r="AK332" s="323">
        <v>3.71</v>
      </c>
      <c r="AL332" s="323">
        <v>24.04</v>
      </c>
      <c r="AM332" s="323">
        <v>6.4431575591891554E-2</v>
      </c>
      <c r="AN332" s="323">
        <v>7.7148336836889084E-2</v>
      </c>
      <c r="AO332" s="323">
        <v>1.1801012075009476E-2</v>
      </c>
      <c r="AP332" s="323">
        <v>1.2395805914565596E-2</v>
      </c>
      <c r="AQ332" s="323">
        <v>0.12949157559189156</v>
      </c>
      <c r="AR332" s="323">
        <v>0.13750833683688907</v>
      </c>
      <c r="AS332" s="323">
        <v>7.651101207500946E-2</v>
      </c>
      <c r="AT332" s="323">
        <v>7.8138205914565606E-2</v>
      </c>
      <c r="AU332" s="190">
        <v>406381936073086.25</v>
      </c>
      <c r="AV332" s="190">
        <v>486588915459318.06</v>
      </c>
      <c r="AW332" s="190">
        <v>595449431817742.5</v>
      </c>
      <c r="AX332" s="190">
        <v>625461235175049.13</v>
      </c>
      <c r="AY332" s="203">
        <v>11.9</v>
      </c>
      <c r="AZ332" s="239">
        <v>230.4</v>
      </c>
      <c r="BA332" s="203">
        <v>1987</v>
      </c>
      <c r="BB332" s="204">
        <v>39296</v>
      </c>
      <c r="BC332" s="203" t="s">
        <v>1527</v>
      </c>
    </row>
    <row r="333" spans="1:55" x14ac:dyDescent="0.2">
      <c r="A333" s="184" t="s">
        <v>1572</v>
      </c>
      <c r="B333" s="184" t="s">
        <v>1571</v>
      </c>
      <c r="C333" s="184" t="s">
        <v>769</v>
      </c>
      <c r="D333" s="185" t="s">
        <v>1043</v>
      </c>
      <c r="E333" s="184" t="s">
        <v>1573</v>
      </c>
      <c r="F333" s="184" t="s">
        <v>1573</v>
      </c>
      <c r="G333" s="186">
        <f>IF(ALECA_Input!$F$13="ICAO (3000ft)",'Aircraft Calc'!C$211,'Aircraft Calc'!G$211)</f>
        <v>0.7</v>
      </c>
      <c r="H333" s="186">
        <f>IF(ALECA_Input!$F$13="ICAO (3000ft)",'Aircraft Calc'!D$211,'Aircraft Calc'!H$211)</f>
        <v>2.2000000000000002</v>
      </c>
      <c r="I333" s="186">
        <f>IF(ALECA_Input!$F$13="ICAO (3000ft)",'Aircraft Calc'!E$211,'Aircraft Calc'!I$211)</f>
        <v>4</v>
      </c>
      <c r="J333" s="189">
        <v>1</v>
      </c>
      <c r="K333" s="187">
        <f t="shared" si="61"/>
        <v>524.90400000000011</v>
      </c>
      <c r="L333" s="187">
        <f t="shared" si="62"/>
        <v>11.61766836</v>
      </c>
      <c r="M333" s="187">
        <f t="shared" si="63"/>
        <v>9.4320000000000001E-2</v>
      </c>
      <c r="N333" s="187">
        <f t="shared" si="64"/>
        <v>0.71002056000000002</v>
      </c>
      <c r="O333" s="187">
        <f t="shared" si="65"/>
        <v>6.1198695538873721E-2</v>
      </c>
      <c r="P333" s="188">
        <f t="shared" si="66"/>
        <v>2.6120282061911219E+17</v>
      </c>
      <c r="Q333" s="187">
        <f t="shared" si="67"/>
        <v>9780.0000000000018</v>
      </c>
      <c r="R333" s="219">
        <f t="shared" si="68"/>
        <v>33.252000000000002</v>
      </c>
      <c r="S333" s="219">
        <f t="shared" si="69"/>
        <v>26.601600000000005</v>
      </c>
      <c r="T333" s="219">
        <f t="shared" si="70"/>
        <v>235.11120000000003</v>
      </c>
      <c r="U333" s="219">
        <f t="shared" si="71"/>
        <v>0.76419165384445176</v>
      </c>
      <c r="V333" s="188">
        <f t="shared" si="72"/>
        <v>6117010880011981</v>
      </c>
      <c r="W333" s="323">
        <v>2.41</v>
      </c>
      <c r="X333" s="323">
        <v>1.9970000000000001</v>
      </c>
      <c r="Y333" s="323">
        <v>0.66700000000000004</v>
      </c>
      <c r="Z333" s="323">
        <v>0.16300000000000001</v>
      </c>
      <c r="AA333" s="323">
        <v>29.59</v>
      </c>
      <c r="AB333" s="323">
        <v>26.34</v>
      </c>
      <c r="AC333" s="323">
        <v>10.49</v>
      </c>
      <c r="AD333" s="323">
        <v>3.4</v>
      </c>
      <c r="AE333" s="323">
        <v>0.13</v>
      </c>
      <c r="AF333" s="323">
        <v>0.15</v>
      </c>
      <c r="AG333" s="323">
        <v>0.26</v>
      </c>
      <c r="AH333" s="323">
        <v>2.72</v>
      </c>
      <c r="AI333" s="323">
        <v>0.46</v>
      </c>
      <c r="AJ333" s="323">
        <v>0.44</v>
      </c>
      <c r="AK333" s="323">
        <v>3.42</v>
      </c>
      <c r="AL333" s="323">
        <v>24.04</v>
      </c>
      <c r="AM333" s="323">
        <v>6.5498752166625471E-2</v>
      </c>
      <c r="AN333" s="323">
        <v>7.6574383182828415E-2</v>
      </c>
      <c r="AO333" s="323">
        <v>1.139932346352812E-2</v>
      </c>
      <c r="AP333" s="323">
        <v>1.2395805914565596E-2</v>
      </c>
      <c r="AQ333" s="323">
        <v>0.12940875216662545</v>
      </c>
      <c r="AR333" s="323">
        <v>0.13693438318282841</v>
      </c>
      <c r="AS333" s="323">
        <v>7.4984323463528124E-2</v>
      </c>
      <c r="AT333" s="323">
        <v>7.8138205914565606E-2</v>
      </c>
      <c r="AU333" s="190">
        <v>413112817300004.25</v>
      </c>
      <c r="AV333" s="190">
        <v>482968882967318.25</v>
      </c>
      <c r="AW333" s="190">
        <v>575181233297656</v>
      </c>
      <c r="AX333" s="190">
        <v>625461235175049.13</v>
      </c>
      <c r="AY333" s="203">
        <v>12.5</v>
      </c>
      <c r="AZ333" s="239">
        <v>236.7</v>
      </c>
      <c r="BA333" s="203">
        <v>1987</v>
      </c>
      <c r="BB333" s="204">
        <v>39296</v>
      </c>
      <c r="BC333" s="203" t="s">
        <v>1527</v>
      </c>
    </row>
    <row r="334" spans="1:55" x14ac:dyDescent="0.2">
      <c r="A334" s="184" t="s">
        <v>1575</v>
      </c>
      <c r="B334" s="184" t="s">
        <v>1574</v>
      </c>
      <c r="C334" s="184" t="s">
        <v>769</v>
      </c>
      <c r="D334" s="185" t="s">
        <v>1043</v>
      </c>
      <c r="E334" s="184" t="s">
        <v>1509</v>
      </c>
      <c r="F334" s="184" t="s">
        <v>1509</v>
      </c>
      <c r="G334" s="186">
        <f>IF(ALECA_Input!$F$13="ICAO (3000ft)",'Aircraft Calc'!C$211,'Aircraft Calc'!G$211)</f>
        <v>0.7</v>
      </c>
      <c r="H334" s="186">
        <f>IF(ALECA_Input!$F$13="ICAO (3000ft)",'Aircraft Calc'!D$211,'Aircraft Calc'!H$211)</f>
        <v>2.2000000000000002</v>
      </c>
      <c r="I334" s="186">
        <f>IF(ALECA_Input!$F$13="ICAO (3000ft)",'Aircraft Calc'!E$211,'Aircraft Calc'!I$211)</f>
        <v>4</v>
      </c>
      <c r="J334" s="189">
        <v>1</v>
      </c>
      <c r="K334" s="187">
        <f t="shared" si="61"/>
        <v>519.48</v>
      </c>
      <c r="L334" s="187">
        <f t="shared" si="62"/>
        <v>9.6441448800000007</v>
      </c>
      <c r="M334" s="187">
        <f t="shared" si="63"/>
        <v>3.5334000000000004E-2</v>
      </c>
      <c r="N334" s="187">
        <f t="shared" si="64"/>
        <v>0.34681919999999999</v>
      </c>
      <c r="O334" s="187">
        <f t="shared" si="65"/>
        <v>4.3069556335020277E-2</v>
      </c>
      <c r="P334" s="188">
        <f t="shared" si="66"/>
        <v>1.1345337811136448E+17</v>
      </c>
      <c r="Q334" s="187">
        <f t="shared" si="67"/>
        <v>11940.000000000002</v>
      </c>
      <c r="R334" s="219">
        <f t="shared" si="68"/>
        <v>56.476200000000013</v>
      </c>
      <c r="S334" s="219">
        <f t="shared" si="69"/>
        <v>18.387600000000003</v>
      </c>
      <c r="T334" s="219">
        <f t="shared" si="70"/>
        <v>229.60620000000003</v>
      </c>
      <c r="U334" s="219">
        <f t="shared" si="71"/>
        <v>0.73838391920709778</v>
      </c>
      <c r="V334" s="188">
        <f t="shared" si="72"/>
        <v>2035961036356913</v>
      </c>
      <c r="W334" s="323">
        <v>2.4220000000000002</v>
      </c>
      <c r="X334" s="323">
        <v>1.9830000000000001</v>
      </c>
      <c r="Y334" s="323">
        <v>0.65</v>
      </c>
      <c r="Z334" s="323">
        <v>0.19900000000000001</v>
      </c>
      <c r="AA334" s="323">
        <v>24.94</v>
      </c>
      <c r="AB334" s="323">
        <v>19.72</v>
      </c>
      <c r="AC334" s="323">
        <v>12.47</v>
      </c>
      <c r="AD334" s="323">
        <v>4.7300000000000004</v>
      </c>
      <c r="AE334" s="323">
        <v>0.05</v>
      </c>
      <c r="AF334" s="323">
        <v>0.05</v>
      </c>
      <c r="AG334" s="323">
        <v>0.11</v>
      </c>
      <c r="AH334" s="323">
        <v>1.54</v>
      </c>
      <c r="AI334" s="323">
        <v>0.04</v>
      </c>
      <c r="AJ334" s="323">
        <v>0.04</v>
      </c>
      <c r="AK334" s="323">
        <v>2.13</v>
      </c>
      <c r="AL334" s="323">
        <v>19.23</v>
      </c>
      <c r="AM334" s="323">
        <v>4.704866652104861E-2</v>
      </c>
      <c r="AN334" s="323">
        <v>3.7787663310466131E-2</v>
      </c>
      <c r="AO334" s="323">
        <v>2.6529075919150928E-3</v>
      </c>
      <c r="AP334" s="323">
        <v>3.3793992635760151E-3</v>
      </c>
      <c r="AQ334" s="323">
        <v>0.1017586665210486</v>
      </c>
      <c r="AR334" s="323">
        <v>9.0547663310466125E-2</v>
      </c>
      <c r="AS334" s="323">
        <v>5.7800407591915098E-2</v>
      </c>
      <c r="AT334" s="323">
        <v>6.1841199263576022E-2</v>
      </c>
      <c r="AU334" s="190">
        <v>296744694116821.63</v>
      </c>
      <c r="AV334" s="190">
        <v>238333823668246.16</v>
      </c>
      <c r="AW334" s="190">
        <v>133859054480253.08</v>
      </c>
      <c r="AX334" s="190">
        <v>170515999694883.81</v>
      </c>
      <c r="AY334" s="203">
        <v>11.1</v>
      </c>
      <c r="AZ334" s="239">
        <v>254.26</v>
      </c>
      <c r="BA334" s="203">
        <v>1995</v>
      </c>
      <c r="BB334" s="204">
        <v>39296</v>
      </c>
      <c r="BC334" s="203" t="s">
        <v>3095</v>
      </c>
    </row>
    <row r="335" spans="1:55" x14ac:dyDescent="0.2">
      <c r="A335" s="184" t="s">
        <v>1578</v>
      </c>
      <c r="B335" s="184" t="s">
        <v>1577</v>
      </c>
      <c r="C335" s="184" t="s">
        <v>769</v>
      </c>
      <c r="D335" s="185" t="s">
        <v>1043</v>
      </c>
      <c r="E335" s="184" t="s">
        <v>1383</v>
      </c>
      <c r="F335" s="184" t="s">
        <v>1576</v>
      </c>
      <c r="G335" s="186">
        <f>IF(ALECA_Input!$F$13="ICAO (3000ft)",'Aircraft Calc'!C$211,'Aircraft Calc'!G$211)</f>
        <v>0.7</v>
      </c>
      <c r="H335" s="186">
        <f>IF(ALECA_Input!$F$13="ICAO (3000ft)",'Aircraft Calc'!D$211,'Aircraft Calc'!H$211)</f>
        <v>2.2000000000000002</v>
      </c>
      <c r="I335" s="186">
        <f>IF(ALECA_Input!$F$13="ICAO (3000ft)",'Aircraft Calc'!E$211,'Aircraft Calc'!I$211)</f>
        <v>4</v>
      </c>
      <c r="J335" s="189">
        <v>1</v>
      </c>
      <c r="K335" s="187">
        <f t="shared" si="61"/>
        <v>600.88199999999995</v>
      </c>
      <c r="L335" s="187">
        <f t="shared" si="62"/>
        <v>17.044748819999999</v>
      </c>
      <c r="M335" s="187">
        <f t="shared" si="63"/>
        <v>2.4688079999999998E-2</v>
      </c>
      <c r="N335" s="187">
        <f t="shared" si="64"/>
        <v>0.34848984</v>
      </c>
      <c r="O335" s="187">
        <f t="shared" si="65"/>
        <v>4.1377065595206146E-2</v>
      </c>
      <c r="P335" s="188">
        <f t="shared" si="66"/>
        <v>3.1496610049477664E+17</v>
      </c>
      <c r="Q335" s="187">
        <f t="shared" si="67"/>
        <v>16020</v>
      </c>
      <c r="R335" s="219">
        <f t="shared" si="68"/>
        <v>90.352799999999988</v>
      </c>
      <c r="S335" s="219">
        <f t="shared" si="69"/>
        <v>8.3304000000000009</v>
      </c>
      <c r="T335" s="219">
        <f t="shared" si="70"/>
        <v>250.8732</v>
      </c>
      <c r="U335" s="219">
        <f t="shared" si="71"/>
        <v>1.3209163425755981</v>
      </c>
      <c r="V335" s="188">
        <f t="shared" si="72"/>
        <v>2.4480892378118368E+16</v>
      </c>
      <c r="W335" s="323">
        <v>2.7810000000000001</v>
      </c>
      <c r="X335" s="323">
        <v>2.2799999999999998</v>
      </c>
      <c r="Y335" s="323">
        <v>0.76300000000000001</v>
      </c>
      <c r="Z335" s="323">
        <v>0.26700000000000002</v>
      </c>
      <c r="AA335" s="323">
        <v>40.409999999999997</v>
      </c>
      <c r="AB335" s="323">
        <v>31.77</v>
      </c>
      <c r="AC335" s="323">
        <v>15.09</v>
      </c>
      <c r="AD335" s="323">
        <v>5.64</v>
      </c>
      <c r="AE335" s="323">
        <v>0.04</v>
      </c>
      <c r="AF335" s="323">
        <v>0.03</v>
      </c>
      <c r="AG335" s="323">
        <v>0.06</v>
      </c>
      <c r="AH335" s="323">
        <v>0.52</v>
      </c>
      <c r="AI335" s="323">
        <v>0.12</v>
      </c>
      <c r="AJ335" s="323">
        <v>0.15</v>
      </c>
      <c r="AK335" s="323">
        <v>1.58</v>
      </c>
      <c r="AL335" s="323">
        <v>15.66</v>
      </c>
      <c r="AM335" s="323">
        <v>1.5967371724425347E-2</v>
      </c>
      <c r="AN335" s="323">
        <v>8.5147501355947678E-3</v>
      </c>
      <c r="AO335" s="323">
        <v>3.1065720414161342E-2</v>
      </c>
      <c r="AP335" s="323">
        <v>3.0285803656404396E-2</v>
      </c>
      <c r="AQ335" s="323">
        <v>6.9527371724425344E-2</v>
      </c>
      <c r="AR335" s="323">
        <v>5.975475013559476E-2</v>
      </c>
      <c r="AS335" s="323">
        <v>8.3400720414161328E-2</v>
      </c>
      <c r="AT335" s="323">
        <v>8.2454203656404379E-2</v>
      </c>
      <c r="AU335" s="190">
        <v>100709184522677.13</v>
      </c>
      <c r="AV335" s="190">
        <v>53704113448950.523</v>
      </c>
      <c r="AW335" s="190">
        <v>1567498232528193.3</v>
      </c>
      <c r="AX335" s="190">
        <v>1528145591642844.5</v>
      </c>
      <c r="AY335" s="203">
        <v>19.399999999999999</v>
      </c>
      <c r="AZ335" s="239">
        <v>360.6</v>
      </c>
      <c r="BA335" s="203">
        <v>2000</v>
      </c>
      <c r="BB335" s="204">
        <v>39296</v>
      </c>
      <c r="BC335" s="203" t="s">
        <v>1579</v>
      </c>
    </row>
    <row r="336" spans="1:55" x14ac:dyDescent="0.2">
      <c r="A336" s="184" t="s">
        <v>1581</v>
      </c>
      <c r="B336" s="184" t="s">
        <v>1580</v>
      </c>
      <c r="C336" s="184" t="s">
        <v>769</v>
      </c>
      <c r="D336" s="185" t="s">
        <v>1043</v>
      </c>
      <c r="E336" s="184" t="s">
        <v>1397</v>
      </c>
      <c r="F336" s="184" t="s">
        <v>1582</v>
      </c>
      <c r="G336" s="186">
        <f>IF(ALECA_Input!$F$13="ICAO (3000ft)",'Aircraft Calc'!C$211,'Aircraft Calc'!G$211)</f>
        <v>0.7</v>
      </c>
      <c r="H336" s="186">
        <f>IF(ALECA_Input!$F$13="ICAO (3000ft)",'Aircraft Calc'!D$211,'Aircraft Calc'!H$211)</f>
        <v>2.2000000000000002</v>
      </c>
      <c r="I336" s="186">
        <f>IF(ALECA_Input!$F$13="ICAO (3000ft)",'Aircraft Calc'!E$211,'Aircraft Calc'!I$211)</f>
        <v>4</v>
      </c>
      <c r="J336" s="189">
        <v>1</v>
      </c>
      <c r="K336" s="187">
        <f t="shared" si="61"/>
        <v>678.53399999999999</v>
      </c>
      <c r="L336" s="187">
        <f t="shared" si="62"/>
        <v>21.88595304</v>
      </c>
      <c r="M336" s="187">
        <f t="shared" si="63"/>
        <v>3.3275760000000008E-2</v>
      </c>
      <c r="N336" s="187">
        <f t="shared" si="64"/>
        <v>0.29944566</v>
      </c>
      <c r="O336" s="187">
        <f t="shared" si="65"/>
        <v>3.6905175521096747E-2</v>
      </c>
      <c r="P336" s="188">
        <f t="shared" si="66"/>
        <v>3.0499720232907692E+16</v>
      </c>
      <c r="Q336" s="187">
        <f t="shared" si="67"/>
        <v>17520</v>
      </c>
      <c r="R336" s="219">
        <f t="shared" si="68"/>
        <v>99.688800000000001</v>
      </c>
      <c r="S336" s="219">
        <f t="shared" si="69"/>
        <v>7.8840000000000003</v>
      </c>
      <c r="T336" s="219">
        <f t="shared" si="70"/>
        <v>239.4984</v>
      </c>
      <c r="U336" s="219">
        <f t="shared" si="71"/>
        <v>0.99973108385496279</v>
      </c>
      <c r="V336" s="188">
        <f t="shared" si="72"/>
        <v>4708067354440698</v>
      </c>
      <c r="W336" s="323">
        <v>3.169</v>
      </c>
      <c r="X336" s="323">
        <v>2.5830000000000002</v>
      </c>
      <c r="Y336" s="323">
        <v>0.85199999999999998</v>
      </c>
      <c r="Z336" s="323">
        <v>0.29199999999999998</v>
      </c>
      <c r="AA336" s="323">
        <v>47.28</v>
      </c>
      <c r="AB336" s="323">
        <v>35.700000000000003</v>
      </c>
      <c r="AC336" s="323">
        <v>16.73</v>
      </c>
      <c r="AD336" s="323">
        <v>5.69</v>
      </c>
      <c r="AE336" s="323">
        <v>0.04</v>
      </c>
      <c r="AF336" s="323">
        <v>0.04</v>
      </c>
      <c r="AG336" s="323">
        <v>7.0000000000000007E-2</v>
      </c>
      <c r="AH336" s="323">
        <v>0.45</v>
      </c>
      <c r="AI336" s="323">
        <v>0.15</v>
      </c>
      <c r="AJ336" s="323">
        <v>0.16</v>
      </c>
      <c r="AK336" s="323">
        <v>1.1000000000000001</v>
      </c>
      <c r="AL336" s="323">
        <v>13.67</v>
      </c>
      <c r="AM336" s="323">
        <v>1.3792414342428912E-3</v>
      </c>
      <c r="AN336" s="323">
        <v>1.5591878606120145E-3</v>
      </c>
      <c r="AO336" s="323">
        <v>2.5189021345806712E-3</v>
      </c>
      <c r="AP336" s="323">
        <v>5.3257764757398841E-3</v>
      </c>
      <c r="AQ336" s="323">
        <v>5.4939241434242891E-2</v>
      </c>
      <c r="AR336" s="323">
        <v>5.3559187860612013E-2</v>
      </c>
      <c r="AS336" s="323">
        <v>5.5416402134580676E-2</v>
      </c>
      <c r="AT336" s="323">
        <v>5.7062276475739887E-2</v>
      </c>
      <c r="AU336" s="190">
        <v>8699132361903.3594</v>
      </c>
      <c r="AV336" s="190">
        <v>9834087955733.6621</v>
      </c>
      <c r="AW336" s="190">
        <v>127097475649295.55</v>
      </c>
      <c r="AX336" s="190">
        <v>268725305618761.31</v>
      </c>
      <c r="AY336" s="203">
        <v>24.5</v>
      </c>
      <c r="AZ336" s="239">
        <v>395.31</v>
      </c>
      <c r="BA336" s="203">
        <v>1997</v>
      </c>
      <c r="BB336" s="204">
        <v>39296</v>
      </c>
      <c r="BC336" s="203" t="s">
        <v>1394</v>
      </c>
    </row>
    <row r="337" spans="1:55" x14ac:dyDescent="0.2">
      <c r="A337" s="184" t="s">
        <v>1584</v>
      </c>
      <c r="B337" s="184" t="s">
        <v>1583</v>
      </c>
      <c r="C337" s="184" t="s">
        <v>769</v>
      </c>
      <c r="D337" s="185" t="s">
        <v>1043</v>
      </c>
      <c r="E337" s="184" t="s">
        <v>1397</v>
      </c>
      <c r="F337" s="184" t="s">
        <v>1585</v>
      </c>
      <c r="G337" s="186">
        <f>IF(ALECA_Input!$F$13="ICAO (3000ft)",'Aircraft Calc'!C$211,'Aircraft Calc'!G$211)</f>
        <v>0.7</v>
      </c>
      <c r="H337" s="186">
        <f>IF(ALECA_Input!$F$13="ICAO (3000ft)",'Aircraft Calc'!D$211,'Aircraft Calc'!H$211)</f>
        <v>2.2000000000000002</v>
      </c>
      <c r="I337" s="186">
        <f>IF(ALECA_Input!$F$13="ICAO (3000ft)",'Aircraft Calc'!E$211,'Aircraft Calc'!I$211)</f>
        <v>4</v>
      </c>
      <c r="J337" s="189">
        <v>1</v>
      </c>
      <c r="K337" s="187">
        <f t="shared" si="61"/>
        <v>667.11</v>
      </c>
      <c r="L337" s="187">
        <f t="shared" si="62"/>
        <v>21.599342699999998</v>
      </c>
      <c r="M337" s="187">
        <f t="shared" si="63"/>
        <v>2.5315199999999996E-2</v>
      </c>
      <c r="N337" s="187">
        <f t="shared" si="64"/>
        <v>0.31904160000000004</v>
      </c>
      <c r="O337" s="187">
        <f t="shared" si="65"/>
        <v>4.8585029775528046E-2</v>
      </c>
      <c r="P337" s="188">
        <f t="shared" si="66"/>
        <v>3.7927882975217638E+17</v>
      </c>
      <c r="Q337" s="187">
        <f t="shared" si="67"/>
        <v>16919.999999999996</v>
      </c>
      <c r="R337" s="219">
        <f t="shared" si="68"/>
        <v>99.151199999999989</v>
      </c>
      <c r="S337" s="219">
        <f t="shared" si="69"/>
        <v>7.7831999999999999</v>
      </c>
      <c r="T337" s="219">
        <f t="shared" si="70"/>
        <v>238.57199999999997</v>
      </c>
      <c r="U337" s="219">
        <f t="shared" si="71"/>
        <v>1.3888613418663622</v>
      </c>
      <c r="V337" s="188">
        <f t="shared" si="72"/>
        <v>2.5856223410596928E+16</v>
      </c>
      <c r="W337" s="323">
        <v>3.1150000000000002</v>
      </c>
      <c r="X337" s="323">
        <v>2.5499999999999998</v>
      </c>
      <c r="Y337" s="323">
        <v>0.83199999999999996</v>
      </c>
      <c r="Z337" s="323">
        <v>0.28199999999999997</v>
      </c>
      <c r="AA337" s="323">
        <v>47.25</v>
      </c>
      <c r="AB337" s="323">
        <v>36.17</v>
      </c>
      <c r="AC337" s="323">
        <v>16.239999999999998</v>
      </c>
      <c r="AD337" s="323">
        <v>5.86</v>
      </c>
      <c r="AE337" s="323">
        <v>0.04</v>
      </c>
      <c r="AF337" s="323">
        <v>0.03</v>
      </c>
      <c r="AG337" s="323">
        <v>0.05</v>
      </c>
      <c r="AH337" s="323">
        <v>0.46</v>
      </c>
      <c r="AI337" s="323">
        <v>0.12</v>
      </c>
      <c r="AJ337" s="323">
        <v>0.13</v>
      </c>
      <c r="AK337" s="323">
        <v>1.3</v>
      </c>
      <c r="AL337" s="323">
        <v>14.1</v>
      </c>
      <c r="AM337" s="323">
        <v>2.1354478009686265E-2</v>
      </c>
      <c r="AN337" s="323">
        <v>1.3686709156433731E-2</v>
      </c>
      <c r="AO337" s="323">
        <v>3.3011345730494836E-2</v>
      </c>
      <c r="AP337" s="323">
        <v>3.0285803656404396E-2</v>
      </c>
      <c r="AQ337" s="323">
        <v>7.4914478009686258E-2</v>
      </c>
      <c r="AR337" s="323">
        <v>6.4926709156433726E-2</v>
      </c>
      <c r="AS337" s="323">
        <v>8.4783845730494828E-2</v>
      </c>
      <c r="AT337" s="323">
        <v>8.2084003656404392E-2</v>
      </c>
      <c r="AU337" s="190">
        <v>134686666245339.34</v>
      </c>
      <c r="AV337" s="190">
        <v>86324621342345.922</v>
      </c>
      <c r="AW337" s="190">
        <v>1665669599676808.3</v>
      </c>
      <c r="AX337" s="190">
        <v>1528145591642844.5</v>
      </c>
      <c r="AY337" s="203">
        <v>24.2</v>
      </c>
      <c r="AZ337" s="239">
        <v>395.3</v>
      </c>
      <c r="BA337" s="203">
        <v>2000</v>
      </c>
      <c r="BB337" s="204">
        <v>39296</v>
      </c>
      <c r="BC337" s="203" t="s">
        <v>1400</v>
      </c>
    </row>
    <row r="338" spans="1:55" x14ac:dyDescent="0.2">
      <c r="A338" s="184" t="s">
        <v>1587</v>
      </c>
      <c r="B338" s="184" t="s">
        <v>1586</v>
      </c>
      <c r="C338" s="184" t="s">
        <v>769</v>
      </c>
      <c r="D338" s="185" t="s">
        <v>1043</v>
      </c>
      <c r="E338" s="184" t="s">
        <v>1588</v>
      </c>
      <c r="F338" s="184" t="s">
        <v>1589</v>
      </c>
      <c r="G338" s="186">
        <f>IF(ALECA_Input!$F$13="ICAO (3000ft)",'Aircraft Calc'!C$211,'Aircraft Calc'!G$211)</f>
        <v>0.7</v>
      </c>
      <c r="H338" s="186">
        <f>IF(ALECA_Input!$F$13="ICAO (3000ft)",'Aircraft Calc'!D$211,'Aircraft Calc'!H$211)</f>
        <v>2.2000000000000002</v>
      </c>
      <c r="I338" s="186">
        <f>IF(ALECA_Input!$F$13="ICAO (3000ft)",'Aircraft Calc'!E$211,'Aircraft Calc'!I$211)</f>
        <v>4</v>
      </c>
      <c r="J338" s="189">
        <v>1</v>
      </c>
      <c r="K338" s="187">
        <f t="shared" si="61"/>
        <v>719.55000000000007</v>
      </c>
      <c r="L338" s="187">
        <f t="shared" si="62"/>
        <v>26.464793160000003</v>
      </c>
      <c r="M338" s="187">
        <f t="shared" si="63"/>
        <v>0.32124767999999998</v>
      </c>
      <c r="N338" s="187">
        <f t="shared" si="64"/>
        <v>5.0330217600000005</v>
      </c>
      <c r="O338" s="187">
        <f t="shared" si="65"/>
        <v>5.5776889698534816E-2</v>
      </c>
      <c r="P338" s="188">
        <f t="shared" si="66"/>
        <v>3.1791740968251404E+16</v>
      </c>
      <c r="Q338" s="187">
        <f t="shared" si="67"/>
        <v>18780</v>
      </c>
      <c r="R338" s="219">
        <f t="shared" si="68"/>
        <v>114.74580000000002</v>
      </c>
      <c r="S338" s="219">
        <f t="shared" si="69"/>
        <v>52.020600000000002</v>
      </c>
      <c r="T338" s="219">
        <f t="shared" si="70"/>
        <v>672.13620000000003</v>
      </c>
      <c r="U338" s="219">
        <f t="shared" si="71"/>
        <v>3.7470601413182454</v>
      </c>
      <c r="V338" s="188">
        <f t="shared" si="72"/>
        <v>1.2647796388950242E+17</v>
      </c>
      <c r="W338" s="323">
        <v>3.419</v>
      </c>
      <c r="X338" s="323">
        <v>2.7559999999999998</v>
      </c>
      <c r="Y338" s="323">
        <v>0.88400000000000001</v>
      </c>
      <c r="Z338" s="323">
        <v>0.313</v>
      </c>
      <c r="AA338" s="323">
        <v>57.34</v>
      </c>
      <c r="AB338" s="323">
        <v>43.92</v>
      </c>
      <c r="AC338" s="323">
        <v>10.62</v>
      </c>
      <c r="AD338" s="323">
        <v>6.11</v>
      </c>
      <c r="AE338" s="323">
        <v>0.08</v>
      </c>
      <c r="AF338" s="323">
        <v>7.0000000000000007E-2</v>
      </c>
      <c r="AG338" s="323">
        <v>1.34</v>
      </c>
      <c r="AH338" s="323">
        <v>2.77</v>
      </c>
      <c r="AI338" s="323">
        <v>0.08</v>
      </c>
      <c r="AJ338" s="323">
        <v>0.11</v>
      </c>
      <c r="AK338" s="323">
        <v>23.48</v>
      </c>
      <c r="AL338" s="323">
        <v>35.79</v>
      </c>
      <c r="AM338" s="323">
        <v>1.3792414342428912E-3</v>
      </c>
      <c r="AN338" s="323">
        <v>1.5591878606120145E-3</v>
      </c>
      <c r="AO338" s="323">
        <v>2.5189021345806712E-3</v>
      </c>
      <c r="AP338" s="323">
        <v>0.13347306918627502</v>
      </c>
      <c r="AQ338" s="323">
        <v>5.9539241434242891E-2</v>
      </c>
      <c r="AR338" s="323">
        <v>5.5839187860612018E-2</v>
      </c>
      <c r="AS338" s="323">
        <v>0.12685390213458067</v>
      </c>
      <c r="AT338" s="323">
        <v>0.19952396918627505</v>
      </c>
      <c r="AU338" s="190">
        <v>8699132361903.3594</v>
      </c>
      <c r="AV338" s="190">
        <v>9834087955733.6621</v>
      </c>
      <c r="AW338" s="190">
        <v>127097475649295.55</v>
      </c>
      <c r="AX338" s="190">
        <v>6734715862060831</v>
      </c>
      <c r="AY338" s="203">
        <v>29.4</v>
      </c>
      <c r="AZ338" s="239">
        <v>418.13</v>
      </c>
      <c r="BA338" s="203">
        <v>1995</v>
      </c>
      <c r="BB338" s="204">
        <v>39296</v>
      </c>
      <c r="BC338" s="203" t="s">
        <v>1391</v>
      </c>
    </row>
    <row r="339" spans="1:55" x14ac:dyDescent="0.2">
      <c r="A339" s="184" t="s">
        <v>1591</v>
      </c>
      <c r="B339" s="184" t="s">
        <v>1590</v>
      </c>
      <c r="C339" s="184" t="s">
        <v>769</v>
      </c>
      <c r="D339" s="185" t="s">
        <v>1043</v>
      </c>
      <c r="E339" s="184" t="s">
        <v>1588</v>
      </c>
      <c r="F339" s="184" t="s">
        <v>1592</v>
      </c>
      <c r="G339" s="186">
        <f>IF(ALECA_Input!$F$13="ICAO (3000ft)",'Aircraft Calc'!C$211,'Aircraft Calc'!G$211)</f>
        <v>0.7</v>
      </c>
      <c r="H339" s="186">
        <f>IF(ALECA_Input!$F$13="ICAO (3000ft)",'Aircraft Calc'!D$211,'Aircraft Calc'!H$211)</f>
        <v>2.2000000000000002</v>
      </c>
      <c r="I339" s="186">
        <f>IF(ALECA_Input!$F$13="ICAO (3000ft)",'Aircraft Calc'!E$211,'Aircraft Calc'!I$211)</f>
        <v>4</v>
      </c>
      <c r="J339" s="189">
        <v>1</v>
      </c>
      <c r="K339" s="187">
        <f t="shared" si="61"/>
        <v>725.05200000000002</v>
      </c>
      <c r="L339" s="187">
        <f t="shared" si="62"/>
        <v>25.7168262</v>
      </c>
      <c r="M339" s="187">
        <f t="shared" si="63"/>
        <v>3.547488E-2</v>
      </c>
      <c r="N339" s="187">
        <f t="shared" si="64"/>
        <v>0.2878386</v>
      </c>
      <c r="O339" s="187">
        <f t="shared" si="65"/>
        <v>3.9431791950279724E-2</v>
      </c>
      <c r="P339" s="188">
        <f t="shared" si="66"/>
        <v>3.2268234656555376E+16</v>
      </c>
      <c r="Q339" s="187">
        <f t="shared" si="67"/>
        <v>18000</v>
      </c>
      <c r="R339" s="219">
        <f t="shared" si="68"/>
        <v>105.48</v>
      </c>
      <c r="S339" s="219">
        <f t="shared" si="69"/>
        <v>7.0200000000000005</v>
      </c>
      <c r="T339" s="219">
        <f t="shared" si="70"/>
        <v>228.6</v>
      </c>
      <c r="U339" s="219">
        <f t="shared" si="71"/>
        <v>1.020457376563318</v>
      </c>
      <c r="V339" s="188">
        <f t="shared" si="72"/>
        <v>4837055501137704</v>
      </c>
      <c r="W339" s="323">
        <v>3.4140000000000001</v>
      </c>
      <c r="X339" s="323">
        <v>2.7719999999999998</v>
      </c>
      <c r="Y339" s="323">
        <v>0.89900000000000002</v>
      </c>
      <c r="Z339" s="323">
        <v>0.3</v>
      </c>
      <c r="AA339" s="323">
        <v>53.21</v>
      </c>
      <c r="AB339" s="323">
        <v>39.130000000000003</v>
      </c>
      <c r="AC339" s="323">
        <v>17.47</v>
      </c>
      <c r="AD339" s="323">
        <v>5.86</v>
      </c>
      <c r="AE339" s="323">
        <v>0.04</v>
      </c>
      <c r="AF339" s="323">
        <v>0.04</v>
      </c>
      <c r="AG339" s="323">
        <v>7.0000000000000007E-2</v>
      </c>
      <c r="AH339" s="323">
        <v>0.39</v>
      </c>
      <c r="AI339" s="323">
        <v>0.15</v>
      </c>
      <c r="AJ339" s="323">
        <v>0.15</v>
      </c>
      <c r="AK339" s="323">
        <v>0.98</v>
      </c>
      <c r="AL339" s="323">
        <v>12.7</v>
      </c>
      <c r="AM339" s="323">
        <v>1.3792414342428912E-3</v>
      </c>
      <c r="AN339" s="323">
        <v>1.5591878606120145E-3</v>
      </c>
      <c r="AO339" s="323">
        <v>2.5189021345806712E-3</v>
      </c>
      <c r="AP339" s="323">
        <v>5.3257764757398841E-3</v>
      </c>
      <c r="AQ339" s="323">
        <v>5.4939241434242891E-2</v>
      </c>
      <c r="AR339" s="323">
        <v>5.3559187860612013E-2</v>
      </c>
      <c r="AS339" s="323">
        <v>5.5416402134580676E-2</v>
      </c>
      <c r="AT339" s="323">
        <v>5.6692076475739886E-2</v>
      </c>
      <c r="AU339" s="190">
        <v>8699132361903.3594</v>
      </c>
      <c r="AV339" s="190">
        <v>9834087955733.6621</v>
      </c>
      <c r="AW339" s="190">
        <v>127097475649295.55</v>
      </c>
      <c r="AX339" s="190">
        <v>268725305618761.31</v>
      </c>
      <c r="AY339" s="203">
        <v>28.5</v>
      </c>
      <c r="AZ339" s="239">
        <v>418.13</v>
      </c>
      <c r="BA339" s="203">
        <v>1997</v>
      </c>
      <c r="BB339" s="204">
        <v>39296</v>
      </c>
      <c r="BC339" s="203" t="s">
        <v>1394</v>
      </c>
    </row>
    <row r="340" spans="1:55" x14ac:dyDescent="0.2">
      <c r="A340" s="184" t="s">
        <v>1594</v>
      </c>
      <c r="B340" s="184" t="s">
        <v>1593</v>
      </c>
      <c r="C340" s="184" t="s">
        <v>769</v>
      </c>
      <c r="D340" s="185" t="s">
        <v>1043</v>
      </c>
      <c r="E340" s="184" t="s">
        <v>1595</v>
      </c>
      <c r="F340" s="184" t="s">
        <v>1596</v>
      </c>
      <c r="G340" s="186">
        <f>IF(ALECA_Input!$F$13="ICAO (3000ft)",'Aircraft Calc'!C$211,'Aircraft Calc'!G$211)</f>
        <v>0.7</v>
      </c>
      <c r="H340" s="186">
        <f>IF(ALECA_Input!$F$13="ICAO (3000ft)",'Aircraft Calc'!D$211,'Aircraft Calc'!H$211)</f>
        <v>2.2000000000000002</v>
      </c>
      <c r="I340" s="186">
        <f>IF(ALECA_Input!$F$13="ICAO (3000ft)",'Aircraft Calc'!E$211,'Aircraft Calc'!I$211)</f>
        <v>4</v>
      </c>
      <c r="J340" s="189">
        <v>1</v>
      </c>
      <c r="K340" s="187">
        <f t="shared" si="61"/>
        <v>738.00600000000009</v>
      </c>
      <c r="L340" s="187">
        <f t="shared" si="62"/>
        <v>28.133681759999998</v>
      </c>
      <c r="M340" s="187">
        <f t="shared" si="63"/>
        <v>0.29274774000000003</v>
      </c>
      <c r="N340" s="187">
        <f t="shared" si="64"/>
        <v>4.7836108800000012</v>
      </c>
      <c r="O340" s="187">
        <f t="shared" si="65"/>
        <v>5.5230474049363439E-2</v>
      </c>
      <c r="P340" s="188">
        <f t="shared" si="66"/>
        <v>3.2474859244364764E+16</v>
      </c>
      <c r="Q340" s="187">
        <f t="shared" si="67"/>
        <v>18960</v>
      </c>
      <c r="R340" s="219">
        <f t="shared" si="68"/>
        <v>116.98320000000001</v>
      </c>
      <c r="S340" s="219">
        <f t="shared" si="69"/>
        <v>50.054400000000001</v>
      </c>
      <c r="T340" s="219">
        <f t="shared" si="70"/>
        <v>657.91200000000003</v>
      </c>
      <c r="U340" s="219">
        <f t="shared" si="71"/>
        <v>3.7487779853957597</v>
      </c>
      <c r="V340" s="188">
        <f t="shared" si="72"/>
        <v>1.2673209293365091E+17</v>
      </c>
      <c r="W340" s="323">
        <v>3.5230000000000001</v>
      </c>
      <c r="X340" s="323">
        <v>2.83</v>
      </c>
      <c r="Y340" s="323">
        <v>0.90200000000000002</v>
      </c>
      <c r="Z340" s="323">
        <v>0.316</v>
      </c>
      <c r="AA340" s="323">
        <v>59.56</v>
      </c>
      <c r="AB340" s="323">
        <v>45.41</v>
      </c>
      <c r="AC340" s="323">
        <v>10.89</v>
      </c>
      <c r="AD340" s="323">
        <v>6.17</v>
      </c>
      <c r="AE340" s="323">
        <v>0.09</v>
      </c>
      <c r="AF340" s="323">
        <v>7.0000000000000007E-2</v>
      </c>
      <c r="AG340" s="323">
        <v>1.17</v>
      </c>
      <c r="AH340" s="323">
        <v>2.64</v>
      </c>
      <c r="AI340" s="323">
        <v>0.08</v>
      </c>
      <c r="AJ340" s="323">
        <v>0.1</v>
      </c>
      <c r="AK340" s="323">
        <v>21.87</v>
      </c>
      <c r="AL340" s="323">
        <v>34.700000000000003</v>
      </c>
      <c r="AM340" s="323">
        <v>1.3792414342428912E-3</v>
      </c>
      <c r="AN340" s="323">
        <v>1.5591878606120145E-3</v>
      </c>
      <c r="AO340" s="323">
        <v>2.5189021345806712E-3</v>
      </c>
      <c r="AP340" s="323">
        <v>0.13247155787952319</v>
      </c>
      <c r="AQ340" s="323">
        <v>6.0689241434242897E-2</v>
      </c>
      <c r="AR340" s="323">
        <v>5.5839187860612018E-2</v>
      </c>
      <c r="AS340" s="323">
        <v>0.11729140213458068</v>
      </c>
      <c r="AT340" s="323">
        <v>0.19772035787952319</v>
      </c>
      <c r="AU340" s="190">
        <v>8699132361903.3594</v>
      </c>
      <c r="AV340" s="190">
        <v>9834087955733.6621</v>
      </c>
      <c r="AW340" s="190">
        <v>127097475649295.55</v>
      </c>
      <c r="AX340" s="190">
        <v>6684182116753740</v>
      </c>
      <c r="AY340" s="203">
        <v>31.2</v>
      </c>
      <c r="AZ340" s="239">
        <v>426.72</v>
      </c>
      <c r="BA340" s="203">
        <v>1995</v>
      </c>
      <c r="BB340" s="204">
        <v>39296</v>
      </c>
      <c r="BC340" s="203" t="s">
        <v>1391</v>
      </c>
    </row>
    <row r="341" spans="1:55" x14ac:dyDescent="0.2">
      <c r="A341" s="184" t="s">
        <v>1598</v>
      </c>
      <c r="B341" s="184" t="s">
        <v>1597</v>
      </c>
      <c r="C341" s="184" t="s">
        <v>769</v>
      </c>
      <c r="D341" s="185" t="s">
        <v>1043</v>
      </c>
      <c r="E341" s="184" t="s">
        <v>1595</v>
      </c>
      <c r="F341" s="184" t="s">
        <v>1599</v>
      </c>
      <c r="G341" s="186">
        <f>IF(ALECA_Input!$F$13="ICAO (3000ft)",'Aircraft Calc'!C$211,'Aircraft Calc'!G$211)</f>
        <v>0.7</v>
      </c>
      <c r="H341" s="186">
        <f>IF(ALECA_Input!$F$13="ICAO (3000ft)",'Aircraft Calc'!D$211,'Aircraft Calc'!H$211)</f>
        <v>2.2000000000000002</v>
      </c>
      <c r="I341" s="186">
        <f>IF(ALECA_Input!$F$13="ICAO (3000ft)",'Aircraft Calc'!E$211,'Aircraft Calc'!I$211)</f>
        <v>4</v>
      </c>
      <c r="J341" s="189">
        <v>1</v>
      </c>
      <c r="K341" s="187">
        <f t="shared" si="61"/>
        <v>743.11800000000005</v>
      </c>
      <c r="L341" s="187">
        <f t="shared" si="62"/>
        <v>27.364514279999998</v>
      </c>
      <c r="M341" s="187">
        <f t="shared" si="63"/>
        <v>3.6327119999999997E-2</v>
      </c>
      <c r="N341" s="187">
        <f t="shared" si="64"/>
        <v>0.2853309</v>
      </c>
      <c r="O341" s="187">
        <f t="shared" si="65"/>
        <v>4.0413269591092427E-2</v>
      </c>
      <c r="P341" s="188">
        <f t="shared" si="66"/>
        <v>3.294766064277082E+16</v>
      </c>
      <c r="Q341" s="187">
        <f t="shared" si="67"/>
        <v>18240</v>
      </c>
      <c r="R341" s="219">
        <f t="shared" si="68"/>
        <v>107.98079999999999</v>
      </c>
      <c r="S341" s="219">
        <f t="shared" si="69"/>
        <v>6.7487999999999992</v>
      </c>
      <c r="T341" s="219">
        <f t="shared" si="70"/>
        <v>225.26399999999998</v>
      </c>
      <c r="U341" s="219">
        <f t="shared" si="71"/>
        <v>1.0318126589174954</v>
      </c>
      <c r="V341" s="188">
        <f t="shared" si="72"/>
        <v>4901549574486206</v>
      </c>
      <c r="W341" s="323">
        <v>3.5150000000000001</v>
      </c>
      <c r="X341" s="323">
        <v>2.8439999999999999</v>
      </c>
      <c r="Y341" s="323">
        <v>0.91700000000000004</v>
      </c>
      <c r="Z341" s="323">
        <v>0.30399999999999999</v>
      </c>
      <c r="AA341" s="323">
        <v>55.9</v>
      </c>
      <c r="AB341" s="323">
        <v>40.51</v>
      </c>
      <c r="AC341" s="323">
        <v>17.739999999999998</v>
      </c>
      <c r="AD341" s="323">
        <v>5.92</v>
      </c>
      <c r="AE341" s="323">
        <v>0.04</v>
      </c>
      <c r="AF341" s="323">
        <v>0.04</v>
      </c>
      <c r="AG341" s="323">
        <v>7.0000000000000007E-2</v>
      </c>
      <c r="AH341" s="323">
        <v>0.37</v>
      </c>
      <c r="AI341" s="323">
        <v>0.15</v>
      </c>
      <c r="AJ341" s="323">
        <v>0.15</v>
      </c>
      <c r="AK341" s="323">
        <v>0.94</v>
      </c>
      <c r="AL341" s="323">
        <v>12.35</v>
      </c>
      <c r="AM341" s="323">
        <v>1.3792414342428912E-3</v>
      </c>
      <c r="AN341" s="323">
        <v>1.5591878606120145E-3</v>
      </c>
      <c r="AO341" s="323">
        <v>2.5189021345806712E-3</v>
      </c>
      <c r="AP341" s="323">
        <v>5.3257764757398841E-3</v>
      </c>
      <c r="AQ341" s="323">
        <v>5.4939241434242891E-2</v>
      </c>
      <c r="AR341" s="323">
        <v>5.3559187860612013E-2</v>
      </c>
      <c r="AS341" s="323">
        <v>5.5416402134580676E-2</v>
      </c>
      <c r="AT341" s="323">
        <v>5.656867647573989E-2</v>
      </c>
      <c r="AU341" s="190">
        <v>8699132361903.3594</v>
      </c>
      <c r="AV341" s="190">
        <v>9834087955733.6621</v>
      </c>
      <c r="AW341" s="190">
        <v>127097475649295.55</v>
      </c>
      <c r="AX341" s="190">
        <v>268725305618761.31</v>
      </c>
      <c r="AY341" s="203">
        <v>30.2</v>
      </c>
      <c r="AZ341" s="239">
        <v>426.72</v>
      </c>
      <c r="BA341" s="203">
        <v>1997</v>
      </c>
      <c r="BB341" s="204">
        <v>39296</v>
      </c>
      <c r="BC341" s="203" t="s">
        <v>1600</v>
      </c>
    </row>
    <row r="342" spans="1:55" x14ac:dyDescent="0.2">
      <c r="A342" s="184" t="s">
        <v>1602</v>
      </c>
      <c r="B342" s="184" t="s">
        <v>1601</v>
      </c>
      <c r="C342" s="184" t="s">
        <v>769</v>
      </c>
      <c r="D342" s="185" t="s">
        <v>1043</v>
      </c>
      <c r="E342" s="184" t="s">
        <v>1588</v>
      </c>
      <c r="F342" s="184" t="s">
        <v>1588</v>
      </c>
      <c r="G342" s="186">
        <f>IF(ALECA_Input!$F$13="ICAO (3000ft)",'Aircraft Calc'!C$211,'Aircraft Calc'!G$211)</f>
        <v>0.7</v>
      </c>
      <c r="H342" s="186">
        <f>IF(ALECA_Input!$F$13="ICAO (3000ft)",'Aircraft Calc'!D$211,'Aircraft Calc'!H$211)</f>
        <v>2.2000000000000002</v>
      </c>
      <c r="I342" s="186">
        <f>IF(ALECA_Input!$F$13="ICAO (3000ft)",'Aircraft Calc'!E$211,'Aircraft Calc'!I$211)</f>
        <v>4</v>
      </c>
      <c r="J342" s="189">
        <v>1</v>
      </c>
      <c r="K342" s="187">
        <f t="shared" si="61"/>
        <v>712.09199999999998</v>
      </c>
      <c r="L342" s="187">
        <f t="shared" si="62"/>
        <v>25.198986479999999</v>
      </c>
      <c r="M342" s="187">
        <f t="shared" si="63"/>
        <v>3.0590880000000001E-2</v>
      </c>
      <c r="N342" s="187">
        <f t="shared" si="64"/>
        <v>0.30820740000000002</v>
      </c>
      <c r="O342" s="187">
        <f t="shared" si="65"/>
        <v>5.4557388360022066E-2</v>
      </c>
      <c r="P342" s="188">
        <f t="shared" si="66"/>
        <v>4.5358863172911296E+17</v>
      </c>
      <c r="Q342" s="187">
        <f t="shared" si="67"/>
        <v>17459.999999999996</v>
      </c>
      <c r="R342" s="219">
        <f t="shared" si="68"/>
        <v>104.75999999999999</v>
      </c>
      <c r="S342" s="219">
        <f t="shared" si="69"/>
        <v>7.5077999999999987</v>
      </c>
      <c r="T342" s="219">
        <f t="shared" si="70"/>
        <v>230.64659999999998</v>
      </c>
      <c r="U342" s="219">
        <f t="shared" si="71"/>
        <v>1.4299548578408205</v>
      </c>
      <c r="V342" s="188">
        <f t="shared" si="72"/>
        <v>2.668142203008406E+16</v>
      </c>
      <c r="W342" s="323">
        <v>3.3479999999999999</v>
      </c>
      <c r="X342" s="323">
        <v>2.7330000000000001</v>
      </c>
      <c r="Y342" s="323">
        <v>0.878</v>
      </c>
      <c r="Z342" s="323">
        <v>0.29099999999999998</v>
      </c>
      <c r="AA342" s="323">
        <v>52.48</v>
      </c>
      <c r="AB342" s="323">
        <v>39.5</v>
      </c>
      <c r="AC342" s="323">
        <v>16.940000000000001</v>
      </c>
      <c r="AD342" s="323">
        <v>6</v>
      </c>
      <c r="AE342" s="323">
        <v>0.04</v>
      </c>
      <c r="AF342" s="323">
        <v>0.04</v>
      </c>
      <c r="AG342" s="323">
        <v>0.05</v>
      </c>
      <c r="AH342" s="323">
        <v>0.43</v>
      </c>
      <c r="AI342" s="323">
        <v>0.12</v>
      </c>
      <c r="AJ342" s="323">
        <v>0.13</v>
      </c>
      <c r="AK342" s="323">
        <v>1.1599999999999999</v>
      </c>
      <c r="AL342" s="323">
        <v>13.21</v>
      </c>
      <c r="AM342" s="323">
        <v>2.4644436994156121E-2</v>
      </c>
      <c r="AN342" s="323">
        <v>1.6902393035912087E-2</v>
      </c>
      <c r="AO342" s="323">
        <v>3.6988137554993888E-2</v>
      </c>
      <c r="AP342" s="323">
        <v>3.0285803656404396E-2</v>
      </c>
      <c r="AQ342" s="323">
        <v>7.8204436994156121E-2</v>
      </c>
      <c r="AR342" s="323">
        <v>6.8902393035912085E-2</v>
      </c>
      <c r="AS342" s="323">
        <v>8.8760637554993888E-2</v>
      </c>
      <c r="AT342" s="323">
        <v>8.1898903656404398E-2</v>
      </c>
      <c r="AU342" s="190">
        <v>155437049724680.44</v>
      </c>
      <c r="AV342" s="190">
        <v>106606537914100.27</v>
      </c>
      <c r="AW342" s="190">
        <v>1866328527682650.5</v>
      </c>
      <c r="AX342" s="190">
        <v>1528145591642844.5</v>
      </c>
      <c r="AY342" s="203">
        <v>27.9</v>
      </c>
      <c r="AZ342" s="239">
        <v>418.1</v>
      </c>
      <c r="BA342" s="203">
        <v>2000</v>
      </c>
      <c r="BB342" s="204">
        <v>39296</v>
      </c>
      <c r="BC342" s="203" t="s">
        <v>1400</v>
      </c>
    </row>
    <row r="343" spans="1:55" x14ac:dyDescent="0.2">
      <c r="A343" s="184" t="s">
        <v>1604</v>
      </c>
      <c r="B343" s="184" t="s">
        <v>1603</v>
      </c>
      <c r="C343" s="184" t="s">
        <v>769</v>
      </c>
      <c r="D343" s="185" t="s">
        <v>1043</v>
      </c>
      <c r="E343" s="184" t="s">
        <v>1605</v>
      </c>
      <c r="F343" s="184" t="s">
        <v>1605</v>
      </c>
      <c r="G343" s="186">
        <f>IF(ALECA_Input!$F$13="ICAO (3000ft)",'Aircraft Calc'!C$211,'Aircraft Calc'!G$211)</f>
        <v>0.7</v>
      </c>
      <c r="H343" s="186">
        <f>IF(ALECA_Input!$F$13="ICAO (3000ft)",'Aircraft Calc'!D$211,'Aircraft Calc'!H$211)</f>
        <v>2.2000000000000002</v>
      </c>
      <c r="I343" s="186">
        <f>IF(ALECA_Input!$F$13="ICAO (3000ft)",'Aircraft Calc'!E$211,'Aircraft Calc'!I$211)</f>
        <v>4</v>
      </c>
      <c r="J343" s="189">
        <v>1</v>
      </c>
      <c r="K343" s="187">
        <f t="shared" ref="K343:K415" si="73">(G343*W343*60+H343*X343*60+I343*Y343*60)</f>
        <v>741.44399999999996</v>
      </c>
      <c r="L343" s="187">
        <f t="shared" ref="L343:L415" si="74">(G343*W343*60*AA343+H343*X343*60*AB343+I343*Y343*60*AC343)/1000</f>
        <v>27.804457319999997</v>
      </c>
      <c r="M343" s="187">
        <f t="shared" ref="M343:M415" si="75">(G343*W343*60*AE343+H343*X343*60*AF343+I343*Y343*60*AG343)/1000</f>
        <v>3.1836959999999997E-2</v>
      </c>
      <c r="N343" s="187">
        <f t="shared" ref="N343:N415" si="76">(G343*W343*60*AI343+H343*X343*60*AJ343+I343*Y343*60*AK343)/1000</f>
        <v>0.29599727999999997</v>
      </c>
      <c r="O343" s="187">
        <f t="shared" ref="O343:O415" si="77">(G343*W343*60*AQ343+H343*X343*60*AR343+I343*Y343*60*AS343)/1000</f>
        <v>5.7821180526186691E-2</v>
      </c>
      <c r="P343" s="188">
        <f t="shared" ref="P343:P415" si="78">(G343*W343*60*AU343+H343*X343*60*AV343+I343*Y343*60*AW343)</f>
        <v>4.7624689480957459E+17</v>
      </c>
      <c r="Q343" s="187">
        <f t="shared" ref="Q343:Q415" si="79">J343*Z343*60*1000</f>
        <v>17759.999999999996</v>
      </c>
      <c r="R343" s="219">
        <f t="shared" ref="R343:R415" si="80">J343*Z343*60*AD343</f>
        <v>108.15839999999999</v>
      </c>
      <c r="S343" s="219">
        <f t="shared" ref="S343:S415" si="81">J343*Z343*60*AH343</f>
        <v>7.2815999999999992</v>
      </c>
      <c r="T343" s="219">
        <f t="shared" ref="T343:T415" si="82">J343*Z343*60*AL343</f>
        <v>225.37439999999998</v>
      </c>
      <c r="U343" s="219">
        <f t="shared" ref="U343:U415" si="83">J343*Z343*60*AT343</f>
        <v>1.452332944937742</v>
      </c>
      <c r="V343" s="188">
        <f t="shared" ref="V343:V415" si="84">J343*Z343*60*AX343</f>
        <v>2.7139865707576916E+16</v>
      </c>
      <c r="W343" s="323">
        <v>3.5139999999999998</v>
      </c>
      <c r="X343" s="323">
        <v>2.8479999999999999</v>
      </c>
      <c r="Y343" s="323">
        <v>0.90800000000000003</v>
      </c>
      <c r="Z343" s="323">
        <v>0.29599999999999999</v>
      </c>
      <c r="AA343" s="323">
        <v>56.41</v>
      </c>
      <c r="AB343" s="323">
        <v>41.74</v>
      </c>
      <c r="AC343" s="323">
        <v>17.38</v>
      </c>
      <c r="AD343" s="323">
        <v>6.09</v>
      </c>
      <c r="AE343" s="323">
        <v>0.04</v>
      </c>
      <c r="AF343" s="323">
        <v>0.04</v>
      </c>
      <c r="AG343" s="323">
        <v>0.05</v>
      </c>
      <c r="AH343" s="323">
        <v>0.41</v>
      </c>
      <c r="AI343" s="323">
        <v>0.12</v>
      </c>
      <c r="AJ343" s="323">
        <v>0.12</v>
      </c>
      <c r="AK343" s="323">
        <v>1.07</v>
      </c>
      <c r="AL343" s="323">
        <v>12.69</v>
      </c>
      <c r="AM343" s="323">
        <v>2.5719611448970715E-2</v>
      </c>
      <c r="AN343" s="323">
        <v>1.9229526024833313E-2</v>
      </c>
      <c r="AO343" s="323">
        <v>3.6988137554993888E-2</v>
      </c>
      <c r="AP343" s="323">
        <v>3.0285803656404396E-2</v>
      </c>
      <c r="AQ343" s="323">
        <v>7.9279611448970708E-2</v>
      </c>
      <c r="AR343" s="323">
        <v>7.1229526024833317E-2</v>
      </c>
      <c r="AS343" s="323">
        <v>8.8760637554993888E-2</v>
      </c>
      <c r="AT343" s="323">
        <v>8.1775503656404402E-2</v>
      </c>
      <c r="AU343" s="190">
        <v>162218375069436.81</v>
      </c>
      <c r="AV343" s="190">
        <v>121284198686008.64</v>
      </c>
      <c r="AW343" s="190">
        <v>1866328527682650.5</v>
      </c>
      <c r="AX343" s="190">
        <v>1528145591642844.5</v>
      </c>
      <c r="AY343" s="203">
        <v>30.6</v>
      </c>
      <c r="AZ343" s="239">
        <v>432.8</v>
      </c>
      <c r="BA343" s="203">
        <v>2000</v>
      </c>
      <c r="BB343" s="204">
        <v>39296</v>
      </c>
      <c r="BC343" s="203" t="s">
        <v>1400</v>
      </c>
    </row>
    <row r="344" spans="1:55" x14ac:dyDescent="0.2">
      <c r="A344" s="184" t="s">
        <v>1607</v>
      </c>
      <c r="B344" s="184" t="s">
        <v>1606</v>
      </c>
      <c r="C344" s="184" t="s">
        <v>769</v>
      </c>
      <c r="D344" s="185" t="s">
        <v>1043</v>
      </c>
      <c r="E344" s="184" t="s">
        <v>1608</v>
      </c>
      <c r="F344" s="184" t="s">
        <v>1608</v>
      </c>
      <c r="G344" s="186">
        <f>IF(ALECA_Input!$F$13="ICAO (3000ft)",'Aircraft Calc'!C$211,'Aircraft Calc'!G$211)</f>
        <v>0.7</v>
      </c>
      <c r="H344" s="186">
        <f>IF(ALECA_Input!$F$13="ICAO (3000ft)",'Aircraft Calc'!D$211,'Aircraft Calc'!H$211)</f>
        <v>2.2000000000000002</v>
      </c>
      <c r="I344" s="186">
        <f>IF(ALECA_Input!$F$13="ICAO (3000ft)",'Aircraft Calc'!E$211,'Aircraft Calc'!I$211)</f>
        <v>4</v>
      </c>
      <c r="J344" s="189">
        <v>1</v>
      </c>
      <c r="K344" s="187">
        <f t="shared" si="73"/>
        <v>550.87800000000004</v>
      </c>
      <c r="L344" s="187">
        <f t="shared" si="74"/>
        <v>10.74805038</v>
      </c>
      <c r="M344" s="187">
        <f t="shared" si="75"/>
        <v>3.025512E-2</v>
      </c>
      <c r="N344" s="187">
        <f t="shared" si="76"/>
        <v>0.28665042000000002</v>
      </c>
      <c r="O344" s="187">
        <f t="shared" si="77"/>
        <v>4.3857911386904223E-2</v>
      </c>
      <c r="P344" s="188">
        <f t="shared" si="78"/>
        <v>1.1203760063744602E+17</v>
      </c>
      <c r="Q344" s="187">
        <f t="shared" si="79"/>
        <v>12299.999999999998</v>
      </c>
      <c r="R344" s="219">
        <f t="shared" si="80"/>
        <v>56.456999999999994</v>
      </c>
      <c r="S344" s="219">
        <f t="shared" si="81"/>
        <v>14.021999999999998</v>
      </c>
      <c r="T344" s="219">
        <f t="shared" si="82"/>
        <v>205.28700000000001</v>
      </c>
      <c r="U344" s="219">
        <f t="shared" si="83"/>
        <v>0.73029035094198502</v>
      </c>
      <c r="V344" s="188">
        <f t="shared" si="84"/>
        <v>2097346796247070.8</v>
      </c>
      <c r="W344" s="323">
        <v>2.5830000000000002</v>
      </c>
      <c r="X344" s="323">
        <v>2.1059999999999999</v>
      </c>
      <c r="Y344" s="323">
        <v>0.68500000000000005</v>
      </c>
      <c r="Z344" s="323">
        <v>0.20499999999999999</v>
      </c>
      <c r="AA344" s="323">
        <v>26.85</v>
      </c>
      <c r="AB344" s="323">
        <v>20.84</v>
      </c>
      <c r="AC344" s="323">
        <v>12.42</v>
      </c>
      <c r="AD344" s="323">
        <v>4.59</v>
      </c>
      <c r="AE344" s="323">
        <v>0.04</v>
      </c>
      <c r="AF344" s="323">
        <v>0.04</v>
      </c>
      <c r="AG344" s="323">
        <v>0.09</v>
      </c>
      <c r="AH344" s="323">
        <v>1.1399999999999999</v>
      </c>
      <c r="AI344" s="323">
        <v>0.03</v>
      </c>
      <c r="AJ344" s="323">
        <v>0.02</v>
      </c>
      <c r="AK344" s="323">
        <v>1.69</v>
      </c>
      <c r="AL344" s="323">
        <v>16.690000000000001</v>
      </c>
      <c r="AM344" s="323">
        <v>4.2209892633658798E-2</v>
      </c>
      <c r="AN344" s="323">
        <v>3.4875815874335463E-2</v>
      </c>
      <c r="AO344" s="323">
        <v>2.6529075919150928E-3</v>
      </c>
      <c r="AP344" s="323">
        <v>3.3793992635760151E-3</v>
      </c>
      <c r="AQ344" s="323">
        <v>9.5769892633658801E-2</v>
      </c>
      <c r="AR344" s="323">
        <v>8.687581587433546E-2</v>
      </c>
      <c r="AS344" s="323">
        <v>5.6675407591915097E-2</v>
      </c>
      <c r="AT344" s="323">
        <v>5.9373199263576024E-2</v>
      </c>
      <c r="AU344" s="190">
        <v>266225646856012.03</v>
      </c>
      <c r="AV344" s="190">
        <v>219968260079682.44</v>
      </c>
      <c r="AW344" s="190">
        <v>133859054480253.08</v>
      </c>
      <c r="AX344" s="190">
        <v>170515999694883.81</v>
      </c>
      <c r="AY344" s="203">
        <v>12.2</v>
      </c>
      <c r="AZ344" s="239">
        <v>267</v>
      </c>
      <c r="BA344" s="203">
        <v>1996</v>
      </c>
      <c r="BB344" s="204">
        <v>39296</v>
      </c>
      <c r="BC344" s="203" t="s">
        <v>3095</v>
      </c>
    </row>
    <row r="345" spans="1:55" x14ac:dyDescent="0.2">
      <c r="A345" s="184" t="s">
        <v>676</v>
      </c>
      <c r="B345" s="184" t="s">
        <v>1609</v>
      </c>
      <c r="C345" s="184" t="s">
        <v>934</v>
      </c>
      <c r="D345" s="185" t="s">
        <v>1043</v>
      </c>
      <c r="E345" s="184" t="s">
        <v>295</v>
      </c>
      <c r="F345" s="184" t="s">
        <v>295</v>
      </c>
      <c r="G345" s="186">
        <f>IF(ALECA_Input!$F$13="ICAO (3000ft)",'Aircraft Calc'!C$211,'Aircraft Calc'!G$211)</f>
        <v>0.7</v>
      </c>
      <c r="H345" s="186">
        <f>IF(ALECA_Input!$F$13="ICAO (3000ft)",'Aircraft Calc'!D$211,'Aircraft Calc'!H$211)</f>
        <v>2.2000000000000002</v>
      </c>
      <c r="I345" s="186">
        <f>IF(ALECA_Input!$F$13="ICAO (3000ft)",'Aircraft Calc'!E$211,'Aircraft Calc'!I$211)</f>
        <v>4</v>
      </c>
      <c r="J345" s="189">
        <v>1</v>
      </c>
      <c r="K345" s="187">
        <f t="shared" si="73"/>
        <v>85.494</v>
      </c>
      <c r="L345" s="187">
        <f t="shared" si="74"/>
        <v>1.2703761599999999</v>
      </c>
      <c r="M345" s="187">
        <f t="shared" si="75"/>
        <v>3.3987900000000001E-2</v>
      </c>
      <c r="N345" s="187">
        <f t="shared" si="76"/>
        <v>0.14223150000000001</v>
      </c>
      <c r="O345" s="187">
        <f t="shared" si="77"/>
        <v>7.7691684778861967E-3</v>
      </c>
      <c r="P345" s="188">
        <f t="shared" si="78"/>
        <v>2.7037859360876444E+16</v>
      </c>
      <c r="Q345" s="187">
        <f t="shared" si="79"/>
        <v>2940</v>
      </c>
      <c r="R345" s="219">
        <f t="shared" si="80"/>
        <v>11.260199999999999</v>
      </c>
      <c r="S345" s="219">
        <f t="shared" si="81"/>
        <v>7.3793999999999995</v>
      </c>
      <c r="T345" s="219">
        <f t="shared" si="82"/>
        <v>51.009</v>
      </c>
      <c r="U345" s="219">
        <f t="shared" si="83"/>
        <v>0.24839748343475435</v>
      </c>
      <c r="V345" s="188">
        <f t="shared" si="84"/>
        <v>2973166412713768</v>
      </c>
      <c r="W345" s="323">
        <v>0.377</v>
      </c>
      <c r="X345" s="323">
        <v>0.315</v>
      </c>
      <c r="Y345" s="323">
        <v>0.11700000000000001</v>
      </c>
      <c r="Z345" s="323">
        <v>4.9000000000000002E-2</v>
      </c>
      <c r="AA345" s="323">
        <v>20.54</v>
      </c>
      <c r="AB345" s="323">
        <v>17.47</v>
      </c>
      <c r="AC345" s="323">
        <v>7.79</v>
      </c>
      <c r="AD345" s="323">
        <v>3.83</v>
      </c>
      <c r="AE345" s="323">
        <v>0.25</v>
      </c>
      <c r="AF345" s="323">
        <v>0.28999999999999998</v>
      </c>
      <c r="AG345" s="323">
        <v>0.64</v>
      </c>
      <c r="AH345" s="323">
        <v>2.5099999999999998</v>
      </c>
      <c r="AI345" s="323">
        <v>0.75</v>
      </c>
      <c r="AJ345" s="323">
        <v>0.92</v>
      </c>
      <c r="AK345" s="323">
        <v>3.28</v>
      </c>
      <c r="AL345" s="323">
        <v>17.350000000000001</v>
      </c>
      <c r="AM345" s="323">
        <v>2.2634598198406457E-2</v>
      </c>
      <c r="AN345" s="323">
        <v>9.6585060137615777E-3</v>
      </c>
      <c r="AO345" s="323">
        <v>1.56999512094168E-2</v>
      </c>
      <c r="AP345" s="323">
        <v>2.0042239943793998E-2</v>
      </c>
      <c r="AQ345" s="323">
        <v>0.10034459819840646</v>
      </c>
      <c r="AR345" s="323">
        <v>8.0658506013761552E-2</v>
      </c>
      <c r="AS345" s="323">
        <v>0.10065995120941679</v>
      </c>
      <c r="AT345" s="323">
        <v>8.4488939943794E-2</v>
      </c>
      <c r="AU345" s="190">
        <v>142760622468192</v>
      </c>
      <c r="AV345" s="190">
        <v>60917994591768.547</v>
      </c>
      <c r="AW345" s="190">
        <v>792180108603609.5</v>
      </c>
      <c r="AX345" s="190">
        <v>1011281092759785</v>
      </c>
      <c r="AY345" s="203">
        <v>1.6</v>
      </c>
      <c r="AZ345" s="239">
        <v>33.729999999999997</v>
      </c>
      <c r="BA345" s="203">
        <v>1995</v>
      </c>
      <c r="BB345" s="204">
        <v>37439</v>
      </c>
      <c r="BC345" s="203" t="s">
        <v>3108</v>
      </c>
    </row>
    <row r="346" spans="1:55" x14ac:dyDescent="0.2">
      <c r="A346" s="184" t="s">
        <v>1611</v>
      </c>
      <c r="B346" s="184" t="s">
        <v>1610</v>
      </c>
      <c r="C346" s="184" t="s">
        <v>769</v>
      </c>
      <c r="D346" s="185" t="s">
        <v>1043</v>
      </c>
      <c r="E346" s="184" t="s">
        <v>1612</v>
      </c>
      <c r="F346" s="184" t="s">
        <v>1613</v>
      </c>
      <c r="G346" s="186">
        <f>IF(ALECA_Input!$F$13="ICAO (3000ft)",'Aircraft Calc'!C$211,'Aircraft Calc'!G$211)</f>
        <v>0.7</v>
      </c>
      <c r="H346" s="186">
        <f>IF(ALECA_Input!$F$13="ICAO (3000ft)",'Aircraft Calc'!D$211,'Aircraft Calc'!H$211)</f>
        <v>2.2000000000000002</v>
      </c>
      <c r="I346" s="186">
        <f>IF(ALECA_Input!$F$13="ICAO (3000ft)",'Aircraft Calc'!E$211,'Aircraft Calc'!I$211)</f>
        <v>4</v>
      </c>
      <c r="J346" s="189">
        <v>1</v>
      </c>
      <c r="K346" s="187">
        <f t="shared" si="73"/>
        <v>898.68000000000006</v>
      </c>
      <c r="L346" s="187">
        <f t="shared" si="74"/>
        <v>27.658023600000003</v>
      </c>
      <c r="M346" s="187">
        <f t="shared" si="75"/>
        <v>3.4736400000000001E-2</v>
      </c>
      <c r="N346" s="187">
        <f t="shared" si="76"/>
        <v>0.63833160000000011</v>
      </c>
      <c r="O346" s="187">
        <f t="shared" si="77"/>
        <v>5.91451985517037E-2</v>
      </c>
      <c r="P346" s="188">
        <f t="shared" si="78"/>
        <v>1.9283085709415725E+17</v>
      </c>
      <c r="Q346" s="187">
        <f t="shared" si="79"/>
        <v>22200</v>
      </c>
      <c r="R346" s="219">
        <f t="shared" si="80"/>
        <v>113.44200000000001</v>
      </c>
      <c r="S346" s="219">
        <f t="shared" si="81"/>
        <v>101.00999999999999</v>
      </c>
      <c r="T346" s="219">
        <f t="shared" si="82"/>
        <v>901.09800000000007</v>
      </c>
      <c r="U346" s="219">
        <f t="shared" si="83"/>
        <v>1.8942127980795234</v>
      </c>
      <c r="V346" s="188">
        <f t="shared" si="84"/>
        <v>9287664411322842</v>
      </c>
      <c r="W346" s="323">
        <v>4.32</v>
      </c>
      <c r="X346" s="323">
        <v>3.47</v>
      </c>
      <c r="Y346" s="323">
        <v>1.08</v>
      </c>
      <c r="Z346" s="323">
        <v>0.37</v>
      </c>
      <c r="AA346" s="323">
        <v>44.44</v>
      </c>
      <c r="AB346" s="323">
        <v>33.85</v>
      </c>
      <c r="AC346" s="323">
        <v>15.78</v>
      </c>
      <c r="AD346" s="323">
        <v>5.1100000000000003</v>
      </c>
      <c r="AE346" s="323">
        <v>0.03</v>
      </c>
      <c r="AF346" s="323">
        <v>0.03</v>
      </c>
      <c r="AG346" s="323">
        <v>0.06</v>
      </c>
      <c r="AH346" s="323">
        <v>4.55</v>
      </c>
      <c r="AI346" s="323">
        <v>7.0000000000000007E-2</v>
      </c>
      <c r="AJ346" s="323">
        <v>7.0000000000000007E-2</v>
      </c>
      <c r="AK346" s="323">
        <v>2.29</v>
      </c>
      <c r="AL346" s="323">
        <v>40.590000000000003</v>
      </c>
      <c r="AM346" s="323">
        <v>2.4427586684705318E-2</v>
      </c>
      <c r="AN346" s="323">
        <v>1.2228384222027809E-2</v>
      </c>
      <c r="AO346" s="323">
        <v>9.9054634049889935E-3</v>
      </c>
      <c r="AP346" s="323">
        <v>8.2914008143929532E-3</v>
      </c>
      <c r="AQ346" s="323">
        <v>7.683758668470532E-2</v>
      </c>
      <c r="AR346" s="323">
        <v>6.3468384222027802E-2</v>
      </c>
      <c r="AS346" s="323">
        <v>6.2240463404988997E-2</v>
      </c>
      <c r="AT346" s="323">
        <v>8.5324900814392951E-2</v>
      </c>
      <c r="AU346" s="190">
        <v>154069334473530.28</v>
      </c>
      <c r="AV346" s="190">
        <v>77126694629808.5</v>
      </c>
      <c r="AW346" s="190">
        <v>499804806477787</v>
      </c>
      <c r="AX346" s="190">
        <v>418363261771299.19</v>
      </c>
      <c r="AY346" s="203">
        <v>30.6</v>
      </c>
      <c r="AZ346" s="239">
        <v>492.6</v>
      </c>
      <c r="BA346" s="203">
        <v>2003</v>
      </c>
      <c r="BB346" s="204">
        <v>39296</v>
      </c>
      <c r="BC346" s="203" t="s">
        <v>1614</v>
      </c>
    </row>
    <row r="347" spans="1:55" x14ac:dyDescent="0.2">
      <c r="A347" s="184" t="s">
        <v>1616</v>
      </c>
      <c r="B347" s="184" t="s">
        <v>1615</v>
      </c>
      <c r="C347" s="184" t="s">
        <v>769</v>
      </c>
      <c r="D347" s="185" t="s">
        <v>1043</v>
      </c>
      <c r="E347" s="184" t="s">
        <v>1617</v>
      </c>
      <c r="F347" s="184" t="s">
        <v>1618</v>
      </c>
      <c r="G347" s="186">
        <f>IF(ALECA_Input!$F$13="ICAO (3000ft)",'Aircraft Calc'!C$211,'Aircraft Calc'!G$211)</f>
        <v>0.7</v>
      </c>
      <c r="H347" s="186">
        <f>IF(ALECA_Input!$F$13="ICAO (3000ft)",'Aircraft Calc'!D$211,'Aircraft Calc'!H$211)</f>
        <v>2.2000000000000002</v>
      </c>
      <c r="I347" s="186">
        <f>IF(ALECA_Input!$F$13="ICAO (3000ft)",'Aircraft Calc'!E$211,'Aircraft Calc'!I$211)</f>
        <v>4</v>
      </c>
      <c r="J347" s="189">
        <v>1</v>
      </c>
      <c r="K347" s="187">
        <f t="shared" si="73"/>
        <v>929.22</v>
      </c>
      <c r="L347" s="187">
        <f t="shared" si="74"/>
        <v>29.976097200000002</v>
      </c>
      <c r="M347" s="187">
        <f t="shared" si="75"/>
        <v>3.58686E-2</v>
      </c>
      <c r="N347" s="187">
        <f t="shared" si="76"/>
        <v>0.61040399999999995</v>
      </c>
      <c r="O347" s="187">
        <f t="shared" si="77"/>
        <v>6.2486278666854689E-2</v>
      </c>
      <c r="P347" s="188">
        <f t="shared" si="78"/>
        <v>2.0915102305671053E+17</v>
      </c>
      <c r="Q347" s="187">
        <f t="shared" si="79"/>
        <v>22800</v>
      </c>
      <c r="R347" s="219">
        <f t="shared" si="80"/>
        <v>117.64800000000001</v>
      </c>
      <c r="S347" s="219">
        <f t="shared" si="81"/>
        <v>99.63600000000001</v>
      </c>
      <c r="T347" s="219">
        <f t="shared" si="82"/>
        <v>905.61599999999999</v>
      </c>
      <c r="U347" s="219">
        <f t="shared" si="83"/>
        <v>1.9097093101641729</v>
      </c>
      <c r="V347" s="188">
        <f t="shared" si="84"/>
        <v>9015097704460560</v>
      </c>
      <c r="W347" s="323">
        <v>4.53</v>
      </c>
      <c r="X347" s="323">
        <v>3.58</v>
      </c>
      <c r="Y347" s="323">
        <v>1.1100000000000001</v>
      </c>
      <c r="Z347" s="323">
        <v>0.38</v>
      </c>
      <c r="AA347" s="323">
        <v>47.74</v>
      </c>
      <c r="AB347" s="323">
        <v>35.08</v>
      </c>
      <c r="AC347" s="323">
        <v>16.2</v>
      </c>
      <c r="AD347" s="323">
        <v>5.16</v>
      </c>
      <c r="AE347" s="323">
        <v>0.03</v>
      </c>
      <c r="AF347" s="323">
        <v>0.03</v>
      </c>
      <c r="AG347" s="323">
        <v>0.06</v>
      </c>
      <c r="AH347" s="323">
        <v>4.37</v>
      </c>
      <c r="AI347" s="323">
        <v>0.08</v>
      </c>
      <c r="AJ347" s="323">
        <v>7.0000000000000007E-2</v>
      </c>
      <c r="AK347" s="323">
        <v>2.11</v>
      </c>
      <c r="AL347" s="323">
        <v>39.72</v>
      </c>
      <c r="AM347" s="323">
        <v>2.7606631690479399E-2</v>
      </c>
      <c r="AN347" s="323">
        <v>1.3586197583198059E-2</v>
      </c>
      <c r="AO347" s="323">
        <v>1.0082591559714665E-2</v>
      </c>
      <c r="AP347" s="323">
        <v>7.8362802703584571E-3</v>
      </c>
      <c r="AQ347" s="323">
        <v>8.0016631690479401E-2</v>
      </c>
      <c r="AR347" s="323">
        <v>6.4826197583198061E-2</v>
      </c>
      <c r="AS347" s="323">
        <v>6.2417591559714672E-2</v>
      </c>
      <c r="AT347" s="323">
        <v>8.375918027035846E-2</v>
      </c>
      <c r="AU347" s="190">
        <v>174120162851418.44</v>
      </c>
      <c r="AV347" s="190">
        <v>85690676147710.563</v>
      </c>
      <c r="AW347" s="190">
        <v>508742248319209.88</v>
      </c>
      <c r="AX347" s="190">
        <v>395399022125463.13</v>
      </c>
      <c r="AY347" s="203">
        <v>33</v>
      </c>
      <c r="AZ347" s="239">
        <v>504.9</v>
      </c>
      <c r="BA347" s="203">
        <v>2003</v>
      </c>
      <c r="BB347" s="204">
        <v>39296</v>
      </c>
      <c r="BC347" s="203" t="s">
        <v>1614</v>
      </c>
    </row>
    <row r="348" spans="1:55" x14ac:dyDescent="0.2">
      <c r="A348" s="184" t="s">
        <v>1620</v>
      </c>
      <c r="B348" s="184" t="s">
        <v>1619</v>
      </c>
      <c r="C348" s="184" t="s">
        <v>769</v>
      </c>
      <c r="D348" s="185" t="s">
        <v>1043</v>
      </c>
      <c r="E348" s="184" t="s">
        <v>1621</v>
      </c>
      <c r="F348" s="184" t="s">
        <v>1622</v>
      </c>
      <c r="G348" s="186">
        <f>IF(ALECA_Input!$F$13="ICAO (3000ft)",'Aircraft Calc'!C$211,'Aircraft Calc'!G$211)</f>
        <v>0.7</v>
      </c>
      <c r="H348" s="186">
        <f>IF(ALECA_Input!$F$13="ICAO (3000ft)",'Aircraft Calc'!D$211,'Aircraft Calc'!H$211)</f>
        <v>2.2000000000000002</v>
      </c>
      <c r="I348" s="186">
        <f>IF(ALECA_Input!$F$13="ICAO (3000ft)",'Aircraft Calc'!E$211,'Aircraft Calc'!I$211)</f>
        <v>4</v>
      </c>
      <c r="J348" s="189">
        <v>1</v>
      </c>
      <c r="K348" s="187">
        <f t="shared" si="73"/>
        <v>952.61999999999989</v>
      </c>
      <c r="L348" s="187">
        <f t="shared" si="74"/>
        <v>31.820924399999996</v>
      </c>
      <c r="M348" s="187">
        <f t="shared" si="75"/>
        <v>3.8684399999999994E-2</v>
      </c>
      <c r="N348" s="187">
        <f t="shared" si="76"/>
        <v>0.58664520000000009</v>
      </c>
      <c r="O348" s="187">
        <f t="shared" si="77"/>
        <v>6.5325082328197337E-2</v>
      </c>
      <c r="P348" s="188">
        <f t="shared" si="78"/>
        <v>2.211911852096041E+17</v>
      </c>
      <c r="Q348" s="187">
        <f t="shared" si="79"/>
        <v>22800</v>
      </c>
      <c r="R348" s="219">
        <f t="shared" si="80"/>
        <v>118.33200000000001</v>
      </c>
      <c r="S348" s="219">
        <f t="shared" si="81"/>
        <v>96.672000000000011</v>
      </c>
      <c r="T348" s="219">
        <f t="shared" si="82"/>
        <v>891.70799999999997</v>
      </c>
      <c r="U348" s="219">
        <f t="shared" si="83"/>
        <v>1.8864236177539133</v>
      </c>
      <c r="V348" s="188">
        <f t="shared" si="84"/>
        <v>8762920641925158</v>
      </c>
      <c r="W348" s="323">
        <v>4.6900000000000004</v>
      </c>
      <c r="X348" s="323">
        <v>3.67</v>
      </c>
      <c r="Y348" s="323">
        <v>1.1299999999999999</v>
      </c>
      <c r="Z348" s="323">
        <v>0.38</v>
      </c>
      <c r="AA348" s="323">
        <v>50.34</v>
      </c>
      <c r="AB348" s="323">
        <v>35.979999999999997</v>
      </c>
      <c r="AC348" s="323">
        <v>16.5</v>
      </c>
      <c r="AD348" s="323">
        <v>5.19</v>
      </c>
      <c r="AE348" s="323">
        <v>0.04</v>
      </c>
      <c r="AF348" s="323">
        <v>0.03</v>
      </c>
      <c r="AG348" s="323">
        <v>0.06</v>
      </c>
      <c r="AH348" s="323">
        <v>4.24</v>
      </c>
      <c r="AI348" s="323">
        <v>0.08</v>
      </c>
      <c r="AJ348" s="323">
        <v>7.0000000000000007E-2</v>
      </c>
      <c r="AK348" s="323">
        <v>1.98</v>
      </c>
      <c r="AL348" s="323">
        <v>39.11</v>
      </c>
      <c r="AM348" s="323">
        <v>2.9804309786038437E-2</v>
      </c>
      <c r="AN348" s="323">
        <v>1.4716646916039203E-2</v>
      </c>
      <c r="AO348" s="323">
        <v>1.0172162811716323E-2</v>
      </c>
      <c r="AP348" s="323">
        <v>7.6170779716628629E-3</v>
      </c>
      <c r="AQ348" s="323">
        <v>8.3364309786038426E-2</v>
      </c>
      <c r="AR348" s="323">
        <v>6.5956646916039197E-2</v>
      </c>
      <c r="AS348" s="323">
        <v>6.2507162811716324E-2</v>
      </c>
      <c r="AT348" s="323">
        <v>8.2737877971662863E-2</v>
      </c>
      <c r="AU348" s="190">
        <v>187981327523155.72</v>
      </c>
      <c r="AV348" s="190">
        <v>92820630433204.188</v>
      </c>
      <c r="AW348" s="190">
        <v>513261788742741.44</v>
      </c>
      <c r="AX348" s="190">
        <v>384338624645840.25</v>
      </c>
      <c r="AY348" s="203">
        <v>34.9</v>
      </c>
      <c r="AZ348" s="239">
        <v>513.9</v>
      </c>
      <c r="BA348" s="203">
        <v>2003</v>
      </c>
      <c r="BB348" s="204">
        <v>38749</v>
      </c>
      <c r="BC348" s="203" t="s">
        <v>1614</v>
      </c>
    </row>
    <row r="349" spans="1:55" x14ac:dyDescent="0.2">
      <c r="A349" s="184" t="s">
        <v>1624</v>
      </c>
      <c r="B349" s="184" t="s">
        <v>1623</v>
      </c>
      <c r="C349" s="184" t="s">
        <v>769</v>
      </c>
      <c r="D349" s="185" t="s">
        <v>1043</v>
      </c>
      <c r="E349" s="184" t="s">
        <v>1383</v>
      </c>
      <c r="F349" s="184" t="s">
        <v>1625</v>
      </c>
      <c r="G349" s="186">
        <f>IF(ALECA_Input!$F$13="ICAO (3000ft)",'Aircraft Calc'!C$211,'Aircraft Calc'!G$211)</f>
        <v>0.7</v>
      </c>
      <c r="H349" s="186">
        <f>IF(ALECA_Input!$F$13="ICAO (3000ft)",'Aircraft Calc'!D$211,'Aircraft Calc'!H$211)</f>
        <v>2.2000000000000002</v>
      </c>
      <c r="I349" s="186">
        <f>IF(ALECA_Input!$F$13="ICAO (3000ft)",'Aircraft Calc'!E$211,'Aircraft Calc'!I$211)</f>
        <v>4</v>
      </c>
      <c r="J349" s="189">
        <v>1</v>
      </c>
      <c r="K349" s="187">
        <f t="shared" si="73"/>
        <v>595.64400000000001</v>
      </c>
      <c r="L349" s="187">
        <f t="shared" si="74"/>
        <v>16.928222760000001</v>
      </c>
      <c r="M349" s="187">
        <f t="shared" si="75"/>
        <v>2.4954120000000003E-2</v>
      </c>
      <c r="N349" s="187">
        <f t="shared" si="76"/>
        <v>0.62337576000000006</v>
      </c>
      <c r="O349" s="187">
        <f t="shared" si="77"/>
        <v>3.4148813474559385E-2</v>
      </c>
      <c r="P349" s="188">
        <f t="shared" si="78"/>
        <v>9.6259792491120224E+16</v>
      </c>
      <c r="Q349" s="187">
        <f t="shared" si="79"/>
        <v>15480</v>
      </c>
      <c r="R349" s="219">
        <f t="shared" si="80"/>
        <v>78.947999999999993</v>
      </c>
      <c r="S349" s="219">
        <f t="shared" si="81"/>
        <v>49.690800000000003</v>
      </c>
      <c r="T349" s="219">
        <f t="shared" si="82"/>
        <v>528.17759999999998</v>
      </c>
      <c r="U349" s="219">
        <f t="shared" si="83"/>
        <v>1.2854028397771411</v>
      </c>
      <c r="V349" s="188">
        <f t="shared" si="84"/>
        <v>1.1146553897747972E+16</v>
      </c>
      <c r="W349" s="323">
        <v>2.7959999999999998</v>
      </c>
      <c r="X349" s="323">
        <v>2.2810000000000001</v>
      </c>
      <c r="Y349" s="323">
        <v>0.73799999999999999</v>
      </c>
      <c r="Z349" s="323">
        <v>0.25800000000000001</v>
      </c>
      <c r="AA349" s="323">
        <v>40.25</v>
      </c>
      <c r="AB349" s="323">
        <v>32.43</v>
      </c>
      <c r="AC349" s="323">
        <v>13.76</v>
      </c>
      <c r="AD349" s="323">
        <v>5.0999999999999996</v>
      </c>
      <c r="AE349" s="323">
        <v>0.03</v>
      </c>
      <c r="AF349" s="323">
        <v>0.03</v>
      </c>
      <c r="AG349" s="323">
        <v>7.0000000000000007E-2</v>
      </c>
      <c r="AH349" s="323">
        <v>3.21</v>
      </c>
      <c r="AI349" s="323">
        <v>0.31</v>
      </c>
      <c r="AJ349" s="323">
        <v>0.32</v>
      </c>
      <c r="AK349" s="323">
        <v>2.77</v>
      </c>
      <c r="AL349" s="323">
        <v>34.119999999999997</v>
      </c>
      <c r="AM349" s="323">
        <v>3.4977230719745278E-3</v>
      </c>
      <c r="AN349" s="323">
        <v>3.5296324229308193E-3</v>
      </c>
      <c r="AO349" s="323">
        <v>9.7309980424919937E-3</v>
      </c>
      <c r="AP349" s="323">
        <v>1.4270659158730051E-2</v>
      </c>
      <c r="AQ349" s="323">
        <v>5.5907723071974523E-2</v>
      </c>
      <c r="AR349" s="323">
        <v>5.4769632422930828E-2</v>
      </c>
      <c r="AS349" s="323">
        <v>6.2628498042491987E-2</v>
      </c>
      <c r="AT349" s="323">
        <v>8.3036359158730047E-2</v>
      </c>
      <c r="AU349" s="190">
        <v>22060790237999.238</v>
      </c>
      <c r="AV349" s="190">
        <v>22262048451869.227</v>
      </c>
      <c r="AW349" s="190">
        <v>491001722444790.38</v>
      </c>
      <c r="AX349" s="190">
        <v>720061621301548.5</v>
      </c>
      <c r="AY349" s="203">
        <v>19</v>
      </c>
      <c r="AZ349" s="239">
        <v>363.22</v>
      </c>
      <c r="BA349" s="203">
        <v>2007</v>
      </c>
      <c r="BB349" s="204">
        <v>39849</v>
      </c>
      <c r="BC349" s="203" t="s">
        <v>1626</v>
      </c>
    </row>
    <row r="350" spans="1:55" x14ac:dyDescent="0.2">
      <c r="A350" s="184" t="s">
        <v>1628</v>
      </c>
      <c r="B350" s="184" t="s">
        <v>1627</v>
      </c>
      <c r="C350" s="184" t="s">
        <v>769</v>
      </c>
      <c r="D350" s="185" t="s">
        <v>1043</v>
      </c>
      <c r="E350" s="184" t="s">
        <v>1390</v>
      </c>
      <c r="F350" s="184" t="s">
        <v>1629</v>
      </c>
      <c r="G350" s="186">
        <f>IF(ALECA_Input!$F$13="ICAO (3000ft)",'Aircraft Calc'!C$211,'Aircraft Calc'!G$211)</f>
        <v>0.7</v>
      </c>
      <c r="H350" s="186">
        <f>IF(ALECA_Input!$F$13="ICAO (3000ft)",'Aircraft Calc'!D$211,'Aircraft Calc'!H$211)</f>
        <v>2.2000000000000002</v>
      </c>
      <c r="I350" s="186">
        <f>IF(ALECA_Input!$F$13="ICAO (3000ft)",'Aircraft Calc'!E$211,'Aircraft Calc'!I$211)</f>
        <v>4</v>
      </c>
      <c r="J350" s="189">
        <v>1</v>
      </c>
      <c r="K350" s="187">
        <f t="shared" si="73"/>
        <v>602.44800000000009</v>
      </c>
      <c r="L350" s="187">
        <f t="shared" si="74"/>
        <v>17.323960440000004</v>
      </c>
      <c r="M350" s="187">
        <f t="shared" si="75"/>
        <v>2.5225439999999998E-2</v>
      </c>
      <c r="N350" s="187">
        <f t="shared" si="76"/>
        <v>0.61892676000000002</v>
      </c>
      <c r="O350" s="187">
        <f t="shared" si="77"/>
        <v>3.4584142547518314E-2</v>
      </c>
      <c r="P350" s="188">
        <f t="shared" si="78"/>
        <v>9.8186254923693856E+16</v>
      </c>
      <c r="Q350" s="187">
        <f t="shared" si="79"/>
        <v>15600.000000000002</v>
      </c>
      <c r="R350" s="219">
        <f t="shared" si="80"/>
        <v>79.872000000000014</v>
      </c>
      <c r="S350" s="219">
        <f t="shared" si="81"/>
        <v>49.296000000000006</v>
      </c>
      <c r="T350" s="219">
        <f t="shared" si="82"/>
        <v>527.43600000000004</v>
      </c>
      <c r="U350" s="219">
        <f t="shared" si="83"/>
        <v>1.2810379590166963</v>
      </c>
      <c r="V350" s="188">
        <f t="shared" si="84"/>
        <v>1.0752775343596682E+16</v>
      </c>
      <c r="W350" s="323">
        <v>2.83</v>
      </c>
      <c r="X350" s="323">
        <v>2.3090000000000002</v>
      </c>
      <c r="Y350" s="323">
        <v>0.745</v>
      </c>
      <c r="Z350" s="323">
        <v>0.26</v>
      </c>
      <c r="AA350" s="323">
        <v>40.83</v>
      </c>
      <c r="AB350" s="323">
        <v>32.78</v>
      </c>
      <c r="AC350" s="323">
        <v>13.87</v>
      </c>
      <c r="AD350" s="323">
        <v>5.12</v>
      </c>
      <c r="AE350" s="323">
        <v>0.03</v>
      </c>
      <c r="AF350" s="323">
        <v>0.03</v>
      </c>
      <c r="AG350" s="323">
        <v>7.0000000000000007E-2</v>
      </c>
      <c r="AH350" s="323">
        <v>3.16</v>
      </c>
      <c r="AI350" s="323">
        <v>0.31</v>
      </c>
      <c r="AJ350" s="323">
        <v>0.32</v>
      </c>
      <c r="AK350" s="323">
        <v>2.71</v>
      </c>
      <c r="AL350" s="323">
        <v>33.81</v>
      </c>
      <c r="AM350" s="323">
        <v>3.7695588983071861E-3</v>
      </c>
      <c r="AN350" s="323">
        <v>3.5296324229308193E-3</v>
      </c>
      <c r="AO350" s="323">
        <v>9.8178996081950756E-3</v>
      </c>
      <c r="AP350" s="323">
        <v>1.3660617885685643E-2</v>
      </c>
      <c r="AQ350" s="323">
        <v>5.617955889830719E-2</v>
      </c>
      <c r="AR350" s="323">
        <v>5.4769632422930828E-2</v>
      </c>
      <c r="AS350" s="323">
        <v>6.2715399608195083E-2</v>
      </c>
      <c r="AT350" s="323">
        <v>8.2117817885685646E-2</v>
      </c>
      <c r="AU350" s="190">
        <v>23775309375305.5</v>
      </c>
      <c r="AV350" s="190">
        <v>22262048451869.227</v>
      </c>
      <c r="AW350" s="190">
        <v>495386557202442.44</v>
      </c>
      <c r="AX350" s="190">
        <v>689280470743377</v>
      </c>
      <c r="AY350" s="203">
        <v>19.399999999999999</v>
      </c>
      <c r="AZ350" s="239">
        <v>366.75</v>
      </c>
      <c r="BA350" s="203">
        <v>2007</v>
      </c>
      <c r="BB350" s="204">
        <v>39849</v>
      </c>
      <c r="BC350" s="203" t="s">
        <v>1626</v>
      </c>
    </row>
    <row r="351" spans="1:55" x14ac:dyDescent="0.2">
      <c r="A351" s="184" t="s">
        <v>1631</v>
      </c>
      <c r="B351" s="184" t="s">
        <v>1630</v>
      </c>
      <c r="C351" s="184" t="s">
        <v>1634</v>
      </c>
      <c r="D351" s="185" t="s">
        <v>1043</v>
      </c>
      <c r="E351" s="184" t="s">
        <v>1632</v>
      </c>
      <c r="F351" s="184" t="s">
        <v>1633</v>
      </c>
      <c r="G351" s="186">
        <f>IF(ALECA_Input!$F$13="ICAO (3000ft)",'Aircraft Calc'!C$211,'Aircraft Calc'!G$211)</f>
        <v>0.7</v>
      </c>
      <c r="H351" s="186">
        <f>IF(ALECA_Input!$F$13="ICAO (3000ft)",'Aircraft Calc'!D$211,'Aircraft Calc'!H$211)</f>
        <v>2.2000000000000002</v>
      </c>
      <c r="I351" s="186">
        <f>IF(ALECA_Input!$F$13="ICAO (3000ft)",'Aircraft Calc'!E$211,'Aircraft Calc'!I$211)</f>
        <v>4</v>
      </c>
      <c r="J351" s="189">
        <v>1</v>
      </c>
      <c r="K351" s="187">
        <f t="shared" si="73"/>
        <v>248.87400000000002</v>
      </c>
      <c r="L351" s="187">
        <f t="shared" si="74"/>
        <v>6.5728847400000001</v>
      </c>
      <c r="M351" s="187">
        <f t="shared" si="75"/>
        <v>3.0115080000000002E-2</v>
      </c>
      <c r="N351" s="187">
        <f t="shared" si="76"/>
        <v>0.15451590000000004</v>
      </c>
      <c r="O351" s="187">
        <f t="shared" si="77"/>
        <v>4.1612219826216074E-2</v>
      </c>
      <c r="P351" s="188">
        <f t="shared" si="78"/>
        <v>3.2778960475501325E+17</v>
      </c>
      <c r="Q351" s="187">
        <f t="shared" si="79"/>
        <v>7439.9999999999991</v>
      </c>
      <c r="R351" s="219">
        <f t="shared" si="80"/>
        <v>43.970399999999998</v>
      </c>
      <c r="S351" s="219">
        <f t="shared" si="81"/>
        <v>1.6367999999999998</v>
      </c>
      <c r="T351" s="219">
        <f t="shared" si="82"/>
        <v>57.734399999999994</v>
      </c>
      <c r="U351" s="219">
        <f t="shared" si="83"/>
        <v>0.79375013685108675</v>
      </c>
      <c r="V351" s="188">
        <f t="shared" si="84"/>
        <v>2.1161299567890804E+16</v>
      </c>
      <c r="W351" s="323">
        <v>1.113</v>
      </c>
      <c r="X351" s="323">
        <v>0.92400000000000004</v>
      </c>
      <c r="Y351" s="323">
        <v>0.33400000000000002</v>
      </c>
      <c r="Z351" s="323">
        <v>0.124</v>
      </c>
      <c r="AA351" s="323">
        <v>37.130000000000003</v>
      </c>
      <c r="AB351" s="323">
        <v>30.82</v>
      </c>
      <c r="AC351" s="323">
        <v>13.450000000000001</v>
      </c>
      <c r="AD351" s="323">
        <v>5.91</v>
      </c>
      <c r="AE351" s="323">
        <v>0.1</v>
      </c>
      <c r="AF351" s="323">
        <v>0.11</v>
      </c>
      <c r="AG351" s="323">
        <v>0.15</v>
      </c>
      <c r="AH351" s="323">
        <v>0.22</v>
      </c>
      <c r="AI351" s="323">
        <v>0.55000000000000004</v>
      </c>
      <c r="AJ351" s="323">
        <v>0.55000000000000004</v>
      </c>
      <c r="AK351" s="323">
        <v>0.77</v>
      </c>
      <c r="AL351" s="323">
        <v>7.76</v>
      </c>
      <c r="AM351" s="323">
        <v>0.14571542461982387</v>
      </c>
      <c r="AN351" s="323">
        <v>0.13809011976286958</v>
      </c>
      <c r="AO351" s="323">
        <v>4.4156416413424417E-2</v>
      </c>
      <c r="AP351" s="323">
        <v>5.6369446350952521E-2</v>
      </c>
      <c r="AQ351" s="323">
        <v>0.20617542461982385</v>
      </c>
      <c r="AR351" s="323">
        <v>0.19541011976286959</v>
      </c>
      <c r="AS351" s="323">
        <v>0.10155391641342443</v>
      </c>
      <c r="AT351" s="323">
        <v>0.10668684635095253</v>
      </c>
      <c r="AU351" s="190">
        <v>919054296418105.5</v>
      </c>
      <c r="AV351" s="190">
        <v>870960079841062.13</v>
      </c>
      <c r="AW351" s="190">
        <v>2228021876205062.8</v>
      </c>
      <c r="AX351" s="190">
        <v>2844260694608979</v>
      </c>
      <c r="AY351" s="203">
        <v>7.7</v>
      </c>
      <c r="AZ351" s="239">
        <v>111.2</v>
      </c>
      <c r="BA351" s="203">
        <v>1988</v>
      </c>
      <c r="BB351" s="204">
        <v>35684</v>
      </c>
      <c r="BC351" s="203" t="s">
        <v>3102</v>
      </c>
    </row>
    <row r="352" spans="1:55" x14ac:dyDescent="0.2">
      <c r="A352" s="184" t="s">
        <v>1636</v>
      </c>
      <c r="B352" s="184" t="s">
        <v>1635</v>
      </c>
      <c r="C352" s="184" t="s">
        <v>1634</v>
      </c>
      <c r="D352" s="185" t="s">
        <v>1043</v>
      </c>
      <c r="E352" s="184" t="s">
        <v>1637</v>
      </c>
      <c r="F352" s="184" t="s">
        <v>1637</v>
      </c>
      <c r="G352" s="186">
        <f>IF(ALECA_Input!$F$13="ICAO (3000ft)",'Aircraft Calc'!C$211,'Aircraft Calc'!G$211)</f>
        <v>0.7</v>
      </c>
      <c r="H352" s="186">
        <f>IF(ALECA_Input!$F$13="ICAO (3000ft)",'Aircraft Calc'!D$211,'Aircraft Calc'!H$211)</f>
        <v>2.2000000000000002</v>
      </c>
      <c r="I352" s="186">
        <f>IF(ALECA_Input!$F$13="ICAO (3000ft)",'Aircraft Calc'!E$211,'Aircraft Calc'!I$211)</f>
        <v>4</v>
      </c>
      <c r="J352" s="189">
        <v>1</v>
      </c>
      <c r="K352" s="187">
        <f t="shared" si="73"/>
        <v>292.08600000000001</v>
      </c>
      <c r="L352" s="187">
        <f t="shared" si="74"/>
        <v>6.2991944999999996</v>
      </c>
      <c r="M352" s="187">
        <f t="shared" si="75"/>
        <v>1.1852340000000001E-2</v>
      </c>
      <c r="N352" s="187">
        <f t="shared" si="76"/>
        <v>0.22749329999999998</v>
      </c>
      <c r="O352" s="187">
        <f t="shared" si="77"/>
        <v>9.7417813319819233E-2</v>
      </c>
      <c r="P352" s="188">
        <f t="shared" si="78"/>
        <v>2.350662394018134E+18</v>
      </c>
      <c r="Q352" s="187">
        <f t="shared" si="79"/>
        <v>8639.9999999999982</v>
      </c>
      <c r="R352" s="219">
        <f t="shared" si="80"/>
        <v>47.519999999999996</v>
      </c>
      <c r="S352" s="219">
        <f t="shared" si="81"/>
        <v>0.6048</v>
      </c>
      <c r="T352" s="219">
        <f t="shared" si="82"/>
        <v>87.868799999999993</v>
      </c>
      <c r="U352" s="219">
        <f t="shared" si="83"/>
        <v>0.96127726553612325</v>
      </c>
      <c r="V352" s="188">
        <f t="shared" si="84"/>
        <v>2.6971104410539044E+16</v>
      </c>
      <c r="W352" s="323">
        <v>1.329</v>
      </c>
      <c r="X352" s="323">
        <v>1.079</v>
      </c>
      <c r="Y352" s="323">
        <v>0.39100000000000001</v>
      </c>
      <c r="Z352" s="323">
        <v>0.14399999999999999</v>
      </c>
      <c r="AA352" s="323">
        <v>32.17</v>
      </c>
      <c r="AB352" s="323">
        <v>24.28</v>
      </c>
      <c r="AC352" s="323">
        <v>11.14</v>
      </c>
      <c r="AD352" s="323">
        <v>5.5</v>
      </c>
      <c r="AE352" s="323">
        <v>0.01</v>
      </c>
      <c r="AF352" s="323">
        <v>0.02</v>
      </c>
      <c r="AG352" s="323">
        <v>0.09</v>
      </c>
      <c r="AH352" s="323">
        <v>7.0000000000000007E-2</v>
      </c>
      <c r="AI352" s="323">
        <v>0.39</v>
      </c>
      <c r="AJ352" s="323">
        <v>0.41</v>
      </c>
      <c r="AK352" s="323">
        <v>1.57</v>
      </c>
      <c r="AL352" s="323">
        <v>10.17</v>
      </c>
      <c r="AM352" s="323">
        <v>6.071449123042183E-2</v>
      </c>
      <c r="AN352" s="323">
        <v>0.26326450748447144</v>
      </c>
      <c r="AO352" s="323">
        <v>0.44198995904008137</v>
      </c>
      <c r="AP352" s="323">
        <v>6.1867042770384649E-2</v>
      </c>
      <c r="AQ352" s="323">
        <v>0.11082449123042183</v>
      </c>
      <c r="AR352" s="323">
        <v>0.31374450748447147</v>
      </c>
      <c r="AS352" s="323">
        <v>0.49601245904008145</v>
      </c>
      <c r="AT352" s="323">
        <v>0.11125894277038464</v>
      </c>
      <c r="AU352" s="190">
        <v>382937593365577.56</v>
      </c>
      <c r="AV352" s="190">
        <v>1660458234461221.8</v>
      </c>
      <c r="AW352" s="190">
        <v>2.2301703303642492E+16</v>
      </c>
      <c r="AX352" s="190">
        <v>3121655603071649</v>
      </c>
      <c r="AY352" s="203">
        <v>7.5</v>
      </c>
      <c r="AZ352" s="239">
        <v>134.80000000000001</v>
      </c>
      <c r="BA352" s="203">
        <v>2009</v>
      </c>
      <c r="BB352" s="204">
        <v>42460</v>
      </c>
      <c r="BC352" s="203" t="s">
        <v>716</v>
      </c>
    </row>
    <row r="353" spans="1:55" x14ac:dyDescent="0.2">
      <c r="A353" s="184" t="s">
        <v>1639</v>
      </c>
      <c r="B353" s="184" t="s">
        <v>1638</v>
      </c>
      <c r="C353" s="184" t="s">
        <v>1634</v>
      </c>
      <c r="D353" s="185" t="s">
        <v>1043</v>
      </c>
      <c r="E353" s="184" t="s">
        <v>1640</v>
      </c>
      <c r="F353" s="184" t="s">
        <v>1640</v>
      </c>
      <c r="G353" s="186">
        <f>IF(ALECA_Input!$F$13="ICAO (3000ft)",'Aircraft Calc'!C$211,'Aircraft Calc'!G$211)</f>
        <v>0.7</v>
      </c>
      <c r="H353" s="186">
        <f>IF(ALECA_Input!$F$13="ICAO (3000ft)",'Aircraft Calc'!D$211,'Aircraft Calc'!H$211)</f>
        <v>2.2000000000000002</v>
      </c>
      <c r="I353" s="186">
        <f>IF(ALECA_Input!$F$13="ICAO (3000ft)",'Aircraft Calc'!E$211,'Aircraft Calc'!I$211)</f>
        <v>4</v>
      </c>
      <c r="J353" s="189">
        <v>1</v>
      </c>
      <c r="K353" s="187">
        <f t="shared" si="73"/>
        <v>223.26600000000002</v>
      </c>
      <c r="L353" s="187">
        <f t="shared" si="74"/>
        <v>3.8916821999999995</v>
      </c>
      <c r="M353" s="187">
        <f t="shared" si="75"/>
        <v>1.0721346E-2</v>
      </c>
      <c r="N353" s="187">
        <f t="shared" si="76"/>
        <v>0.28956522000000001</v>
      </c>
      <c r="O353" s="187">
        <f t="shared" si="77"/>
        <v>7.3349790077553392E-2</v>
      </c>
      <c r="P353" s="188">
        <f t="shared" si="78"/>
        <v>9.1265167696128486E+17</v>
      </c>
      <c r="Q353" s="187">
        <f t="shared" si="79"/>
        <v>7080</v>
      </c>
      <c r="R353" s="219">
        <f t="shared" si="80"/>
        <v>31.86</v>
      </c>
      <c r="S353" s="219">
        <f t="shared" si="81"/>
        <v>0.72924</v>
      </c>
      <c r="T353" s="219">
        <f t="shared" si="82"/>
        <v>95.013599999999997</v>
      </c>
      <c r="U353" s="219">
        <f t="shared" si="83"/>
        <v>1.7881017005892703</v>
      </c>
      <c r="V353" s="188">
        <f t="shared" si="84"/>
        <v>7.2505669767822704E+16</v>
      </c>
      <c r="W353" s="323">
        <v>0.97099999999999997</v>
      </c>
      <c r="X353" s="323">
        <v>0.81699999999999995</v>
      </c>
      <c r="Y353" s="323">
        <v>0.311</v>
      </c>
      <c r="Z353" s="323">
        <v>0.11799999999999999</v>
      </c>
      <c r="AA353" s="323">
        <v>24.5</v>
      </c>
      <c r="AB353" s="323">
        <v>20.8</v>
      </c>
      <c r="AC353" s="323">
        <v>8.7000000000000011</v>
      </c>
      <c r="AD353" s="323">
        <v>4.5</v>
      </c>
      <c r="AE353" s="323">
        <v>4.1000000000000002E-2</v>
      </c>
      <c r="AF353" s="323">
        <v>4.1000000000000002E-2</v>
      </c>
      <c r="AG353" s="323">
        <v>6.2E-2</v>
      </c>
      <c r="AH353" s="323">
        <v>0.10299999999999999</v>
      </c>
      <c r="AI353" s="323">
        <v>0.57000000000000006</v>
      </c>
      <c r="AJ353" s="323">
        <v>0.67</v>
      </c>
      <c r="AK353" s="323">
        <v>2.6</v>
      </c>
      <c r="AL353" s="323">
        <v>13.42</v>
      </c>
      <c r="AM353" s="323">
        <v>0.32147811399881043</v>
      </c>
      <c r="AN353" s="323">
        <v>0.33986455121745618</v>
      </c>
      <c r="AO353" s="323">
        <v>0.15899219690458952</v>
      </c>
      <c r="AP353" s="323">
        <v>0.20296122737136588</v>
      </c>
      <c r="AQ353" s="323">
        <v>0.37515311399881035</v>
      </c>
      <c r="AR353" s="323">
        <v>0.39194055121745619</v>
      </c>
      <c r="AS353" s="323">
        <v>0.2114396969045895</v>
      </c>
      <c r="AT353" s="323">
        <v>0.25255673737136586</v>
      </c>
      <c r="AU353" s="190">
        <v>2027622282581613.3</v>
      </c>
      <c r="AV353" s="190">
        <v>2143588963293047.3</v>
      </c>
      <c r="AW353" s="190">
        <v>8022346957069482</v>
      </c>
      <c r="AX353" s="190">
        <v>1.0240913809014506E+16</v>
      </c>
      <c r="AY353" s="203">
        <v>4.7</v>
      </c>
      <c r="AZ353" s="239">
        <v>102.66</v>
      </c>
      <c r="BA353" s="203">
        <v>1992</v>
      </c>
      <c r="BB353" s="204">
        <v>35684</v>
      </c>
      <c r="BC353" s="203" t="s">
        <v>1109</v>
      </c>
    </row>
    <row r="354" spans="1:55" x14ac:dyDescent="0.2">
      <c r="A354" s="184" t="s">
        <v>1642</v>
      </c>
      <c r="B354" s="184" t="s">
        <v>1641</v>
      </c>
      <c r="C354" s="184" t="s">
        <v>1634</v>
      </c>
      <c r="D354" s="185" t="s">
        <v>1043</v>
      </c>
      <c r="E354" s="184" t="s">
        <v>1643</v>
      </c>
      <c r="F354" s="184" t="s">
        <v>1643</v>
      </c>
      <c r="G354" s="186">
        <f>IF(ALECA_Input!$F$13="ICAO (3000ft)",'Aircraft Calc'!C$211,'Aircraft Calc'!G$211)</f>
        <v>0.7</v>
      </c>
      <c r="H354" s="186">
        <f>IF(ALECA_Input!$F$13="ICAO (3000ft)",'Aircraft Calc'!D$211,'Aircraft Calc'!H$211)</f>
        <v>2.2000000000000002</v>
      </c>
      <c r="I354" s="186">
        <f>IF(ALECA_Input!$F$13="ICAO (3000ft)",'Aircraft Calc'!E$211,'Aircraft Calc'!I$211)</f>
        <v>4</v>
      </c>
      <c r="J354" s="189">
        <v>1</v>
      </c>
      <c r="K354" s="187">
        <f t="shared" si="73"/>
        <v>237.06</v>
      </c>
      <c r="L354" s="187">
        <f t="shared" si="74"/>
        <v>4.3757687999999995</v>
      </c>
      <c r="M354" s="187">
        <f t="shared" si="75"/>
        <v>1.1452200000000001E-2</v>
      </c>
      <c r="N354" s="187">
        <f t="shared" si="76"/>
        <v>0.28238184</v>
      </c>
      <c r="O354" s="187">
        <f t="shared" si="77"/>
        <v>7.7201410700052431E-2</v>
      </c>
      <c r="P354" s="188">
        <f t="shared" si="78"/>
        <v>9.5439026336679565E+17</v>
      </c>
      <c r="Q354" s="187">
        <f t="shared" si="79"/>
        <v>7380</v>
      </c>
      <c r="R354" s="219">
        <f t="shared" si="80"/>
        <v>34.686</v>
      </c>
      <c r="S354" s="219">
        <f t="shared" si="81"/>
        <v>0.73799999999999999</v>
      </c>
      <c r="T354" s="219">
        <f t="shared" si="82"/>
        <v>93.283200000000008</v>
      </c>
      <c r="U354" s="219">
        <f t="shared" si="83"/>
        <v>1.8459287571551577</v>
      </c>
      <c r="V354" s="188">
        <f t="shared" si="84"/>
        <v>7.4679631034264336E+16</v>
      </c>
      <c r="W354" s="323">
        <v>1.042</v>
      </c>
      <c r="X354" s="323">
        <v>0.86799999999999999</v>
      </c>
      <c r="Y354" s="323">
        <v>0.32800000000000001</v>
      </c>
      <c r="Z354" s="323">
        <v>0.123</v>
      </c>
      <c r="AA354" s="323">
        <v>26.2</v>
      </c>
      <c r="AB354" s="323">
        <v>22</v>
      </c>
      <c r="AC354" s="323">
        <v>9</v>
      </c>
      <c r="AD354" s="323">
        <v>4.7</v>
      </c>
      <c r="AE354" s="323">
        <v>4.2000000000000003E-2</v>
      </c>
      <c r="AF354" s="323">
        <v>4.2000000000000003E-2</v>
      </c>
      <c r="AG354" s="323">
        <v>6.0999999999999999E-2</v>
      </c>
      <c r="AH354" s="323">
        <v>0.1</v>
      </c>
      <c r="AI354" s="323">
        <v>0.54</v>
      </c>
      <c r="AJ354" s="323">
        <v>0.63</v>
      </c>
      <c r="AK354" s="323">
        <v>2.37</v>
      </c>
      <c r="AL354" s="323">
        <v>12.64</v>
      </c>
      <c r="AM354" s="323">
        <v>0.31766523643625633</v>
      </c>
      <c r="AN354" s="323">
        <v>0.3358318364506962</v>
      </c>
      <c r="AO354" s="323">
        <v>0.15710325822511617</v>
      </c>
      <c r="AP354" s="323">
        <v>0.20054884785300237</v>
      </c>
      <c r="AQ354" s="323">
        <v>0.37145523643625633</v>
      </c>
      <c r="AR354" s="323">
        <v>0.38798383645069623</v>
      </c>
      <c r="AS354" s="323">
        <v>0.20949450822511617</v>
      </c>
      <c r="AT354" s="323">
        <v>0.2501258478530024</v>
      </c>
      <c r="AU354" s="190">
        <v>2003573754330577.5</v>
      </c>
      <c r="AV354" s="190">
        <v>2118153880889867.8</v>
      </c>
      <c r="AW354" s="190">
        <v>7927035855251966</v>
      </c>
      <c r="AX354" s="190">
        <v>1.0119191197054788E+16</v>
      </c>
      <c r="AY354" s="203">
        <v>5.3</v>
      </c>
      <c r="AZ354" s="239">
        <v>109.06</v>
      </c>
      <c r="BA354" s="203">
        <v>1992</v>
      </c>
      <c r="BB354" s="204">
        <v>39296</v>
      </c>
      <c r="BC354" s="203" t="s">
        <v>3109</v>
      </c>
    </row>
    <row r="355" spans="1:55" x14ac:dyDescent="0.2">
      <c r="A355" s="184" t="s">
        <v>1642</v>
      </c>
      <c r="B355" s="184" t="s">
        <v>1644</v>
      </c>
      <c r="C355" s="184" t="s">
        <v>1634</v>
      </c>
      <c r="D355" s="185" t="s">
        <v>1043</v>
      </c>
      <c r="E355" s="184" t="s">
        <v>1643</v>
      </c>
      <c r="F355" s="184" t="s">
        <v>1643</v>
      </c>
      <c r="G355" s="186">
        <f>IF(ALECA_Input!$F$13="ICAO (3000ft)",'Aircraft Calc'!C$211,'Aircraft Calc'!G$211)</f>
        <v>0.7</v>
      </c>
      <c r="H355" s="186">
        <f>IF(ALECA_Input!$F$13="ICAO (3000ft)",'Aircraft Calc'!D$211,'Aircraft Calc'!H$211)</f>
        <v>2.2000000000000002</v>
      </c>
      <c r="I355" s="186">
        <f>IF(ALECA_Input!$F$13="ICAO (3000ft)",'Aircraft Calc'!E$211,'Aircraft Calc'!I$211)</f>
        <v>4</v>
      </c>
      <c r="J355" s="189">
        <v>1</v>
      </c>
      <c r="K355" s="187">
        <f t="shared" si="73"/>
        <v>237.06</v>
      </c>
      <c r="L355" s="187">
        <f t="shared" si="74"/>
        <v>4.3757687999999995</v>
      </c>
      <c r="M355" s="187">
        <f t="shared" si="75"/>
        <v>1.1337624000000001E-2</v>
      </c>
      <c r="N355" s="187">
        <f t="shared" si="76"/>
        <v>0.28238184</v>
      </c>
      <c r="O355" s="187">
        <f t="shared" si="77"/>
        <v>7.7192702924052475E-2</v>
      </c>
      <c r="P355" s="188">
        <f t="shared" si="78"/>
        <v>9.543902633667959E+17</v>
      </c>
      <c r="Q355" s="187">
        <f t="shared" si="79"/>
        <v>7380</v>
      </c>
      <c r="R355" s="219">
        <f t="shared" si="80"/>
        <v>34.686</v>
      </c>
      <c r="S355" s="219">
        <f t="shared" si="81"/>
        <v>0.73799999999999999</v>
      </c>
      <c r="T355" s="219">
        <f t="shared" si="82"/>
        <v>93.283200000000008</v>
      </c>
      <c r="U355" s="219">
        <f t="shared" si="83"/>
        <v>1.8459287571551577</v>
      </c>
      <c r="V355" s="188">
        <f t="shared" si="84"/>
        <v>7.4679631034264336E+16</v>
      </c>
      <c r="W355" s="323">
        <v>1.042</v>
      </c>
      <c r="X355" s="323">
        <v>0.86799999999999999</v>
      </c>
      <c r="Y355" s="323">
        <v>0.32800000000000001</v>
      </c>
      <c r="Z355" s="323">
        <v>0.123</v>
      </c>
      <c r="AA355" s="323">
        <v>26.2</v>
      </c>
      <c r="AB355" s="323">
        <v>22</v>
      </c>
      <c r="AC355" s="323">
        <v>9</v>
      </c>
      <c r="AD355" s="323">
        <v>4.7</v>
      </c>
      <c r="AE355" s="323">
        <v>4.2000000000000003E-2</v>
      </c>
      <c r="AF355" s="323">
        <v>4.1000000000000002E-2</v>
      </c>
      <c r="AG355" s="323">
        <v>6.0999999999999999E-2</v>
      </c>
      <c r="AH355" s="323">
        <v>0.1</v>
      </c>
      <c r="AI355" s="323">
        <v>0.54</v>
      </c>
      <c r="AJ355" s="323">
        <v>0.63</v>
      </c>
      <c r="AK355" s="323">
        <v>2.37</v>
      </c>
      <c r="AL355" s="323">
        <v>12.64</v>
      </c>
      <c r="AM355" s="323">
        <v>0.31766523643625638</v>
      </c>
      <c r="AN355" s="323">
        <v>0.33583183645069631</v>
      </c>
      <c r="AO355" s="323">
        <v>0.1571032582251162</v>
      </c>
      <c r="AP355" s="323">
        <v>0.20054884785300237</v>
      </c>
      <c r="AQ355" s="323">
        <v>0.37145523643625639</v>
      </c>
      <c r="AR355" s="323">
        <v>0.38790783645069632</v>
      </c>
      <c r="AS355" s="323">
        <v>0.20949450822511623</v>
      </c>
      <c r="AT355" s="323">
        <v>0.2501258478530024</v>
      </c>
      <c r="AU355" s="190">
        <v>2003573754330577.5</v>
      </c>
      <c r="AV355" s="190">
        <v>2118153880889868.5</v>
      </c>
      <c r="AW355" s="190">
        <v>7927035855251968</v>
      </c>
      <c r="AX355" s="190">
        <v>1.0119191197054788E+16</v>
      </c>
      <c r="AY355" s="203">
        <v>5.3</v>
      </c>
      <c r="AZ355" s="239">
        <v>109.06</v>
      </c>
      <c r="BA355" s="203">
        <v>1992</v>
      </c>
      <c r="BB355" s="204">
        <v>35684</v>
      </c>
      <c r="BC355" s="203" t="s">
        <v>1109</v>
      </c>
    </row>
    <row r="356" spans="1:55" x14ac:dyDescent="0.2">
      <c r="A356" s="184" t="s">
        <v>690</v>
      </c>
      <c r="B356" s="184" t="s">
        <v>1645</v>
      </c>
      <c r="C356" s="184" t="s">
        <v>1634</v>
      </c>
      <c r="D356" s="185" t="s">
        <v>1043</v>
      </c>
      <c r="E356" s="184" t="s">
        <v>326</v>
      </c>
      <c r="F356" s="184" t="s">
        <v>326</v>
      </c>
      <c r="G356" s="186">
        <f>IF(ALECA_Input!$F$13="ICAO (3000ft)",'Aircraft Calc'!C$211,'Aircraft Calc'!G$211)</f>
        <v>0.7</v>
      </c>
      <c r="H356" s="186">
        <f>IF(ALECA_Input!$F$13="ICAO (3000ft)",'Aircraft Calc'!D$211,'Aircraft Calc'!H$211)</f>
        <v>2.2000000000000002</v>
      </c>
      <c r="I356" s="186">
        <f>IF(ALECA_Input!$F$13="ICAO (3000ft)",'Aircraft Calc'!E$211,'Aircraft Calc'!I$211)</f>
        <v>4</v>
      </c>
      <c r="J356" s="189">
        <v>1</v>
      </c>
      <c r="K356" s="187">
        <f t="shared" si="73"/>
        <v>236.946</v>
      </c>
      <c r="L356" s="187">
        <f t="shared" si="74"/>
        <v>4.4437410000000002</v>
      </c>
      <c r="M356" s="187">
        <f t="shared" si="75"/>
        <v>1.1245985999999999E-2</v>
      </c>
      <c r="N356" s="187">
        <f t="shared" si="76"/>
        <v>0.28226538000000001</v>
      </c>
      <c r="O356" s="187">
        <f t="shared" si="77"/>
        <v>7.7632836502127475E-2</v>
      </c>
      <c r="P356" s="188">
        <f t="shared" si="78"/>
        <v>9.431651195037865E+17</v>
      </c>
      <c r="Q356" s="187">
        <f t="shared" si="79"/>
        <v>7680</v>
      </c>
      <c r="R356" s="219">
        <f t="shared" si="80"/>
        <v>36.095999999999997</v>
      </c>
      <c r="S356" s="219">
        <f t="shared" si="81"/>
        <v>0.80639999999999989</v>
      </c>
      <c r="T356" s="219">
        <f t="shared" si="82"/>
        <v>95.462399999999988</v>
      </c>
      <c r="U356" s="219">
        <f t="shared" si="83"/>
        <v>1.9238501644683488</v>
      </c>
      <c r="V356" s="188">
        <f t="shared" si="84"/>
        <v>7.7848935487645184E+16</v>
      </c>
      <c r="W356" s="323">
        <v>1.0529999999999999</v>
      </c>
      <c r="X356" s="323">
        <v>0.88</v>
      </c>
      <c r="Y356" s="323">
        <v>0.31900000000000001</v>
      </c>
      <c r="Z356" s="323">
        <v>0.128</v>
      </c>
      <c r="AA356" s="323">
        <v>26.5</v>
      </c>
      <c r="AB356" s="323">
        <v>22.3</v>
      </c>
      <c r="AC356" s="323">
        <v>8.9</v>
      </c>
      <c r="AD356" s="323">
        <v>4.7</v>
      </c>
      <c r="AE356" s="323">
        <v>4.1000000000000002E-2</v>
      </c>
      <c r="AF356" s="323">
        <v>4.1000000000000002E-2</v>
      </c>
      <c r="AG356" s="323">
        <v>6.0999999999999999E-2</v>
      </c>
      <c r="AH356" s="323">
        <v>0.105</v>
      </c>
      <c r="AI356" s="323">
        <v>0.53</v>
      </c>
      <c r="AJ356" s="323">
        <v>0.62</v>
      </c>
      <c r="AK356" s="323">
        <v>2.44</v>
      </c>
      <c r="AL356" s="323">
        <v>12.43</v>
      </c>
      <c r="AM356" s="323">
        <v>0.31820993323090696</v>
      </c>
      <c r="AN356" s="323">
        <v>0.33640793856023338</v>
      </c>
      <c r="AO356" s="323">
        <v>0.15737310660789813</v>
      </c>
      <c r="AP356" s="323">
        <v>0.20089347349848291</v>
      </c>
      <c r="AQ356" s="323">
        <v>0.37188493323090699</v>
      </c>
      <c r="AR356" s="323">
        <v>0.38848393856023339</v>
      </c>
      <c r="AS356" s="323">
        <v>0.20976435660789813</v>
      </c>
      <c r="AT356" s="323">
        <v>0.25050132349848292</v>
      </c>
      <c r="AU356" s="190">
        <v>2007009258366440</v>
      </c>
      <c r="AV356" s="190">
        <v>2121787464090322.3</v>
      </c>
      <c r="AW356" s="190">
        <v>7940651726940185</v>
      </c>
      <c r="AX356" s="190">
        <v>1.0136580141620466E+16</v>
      </c>
      <c r="AY356" s="203">
        <v>5.4</v>
      </c>
      <c r="AZ356" s="239">
        <v>111.2</v>
      </c>
      <c r="BA356" s="203">
        <v>1992</v>
      </c>
      <c r="BB356" s="204">
        <v>35684</v>
      </c>
      <c r="BC356" s="203" t="s">
        <v>1109</v>
      </c>
    </row>
    <row r="357" spans="1:55" x14ac:dyDescent="0.2">
      <c r="A357" s="184" t="s">
        <v>3110</v>
      </c>
      <c r="B357" s="184" t="s">
        <v>1646</v>
      </c>
      <c r="C357" s="184" t="s">
        <v>1634</v>
      </c>
      <c r="D357" s="185" t="s">
        <v>1043</v>
      </c>
      <c r="E357" s="184" t="s">
        <v>1647</v>
      </c>
      <c r="F357" s="184" t="s">
        <v>1647</v>
      </c>
      <c r="G357" s="186">
        <f>IF(ALECA_Input!$F$13="ICAO (3000ft)",'Aircraft Calc'!C$211,'Aircraft Calc'!G$211)</f>
        <v>0.7</v>
      </c>
      <c r="H357" s="186">
        <f>IF(ALECA_Input!$F$13="ICAO (3000ft)",'Aircraft Calc'!D$211,'Aircraft Calc'!H$211)</f>
        <v>2.2000000000000002</v>
      </c>
      <c r="I357" s="186">
        <f>IF(ALECA_Input!$F$13="ICAO (3000ft)",'Aircraft Calc'!E$211,'Aircraft Calc'!I$211)</f>
        <v>4</v>
      </c>
      <c r="J357" s="189">
        <v>1</v>
      </c>
      <c r="K357" s="187">
        <f t="shared" si="73"/>
        <v>236.946</v>
      </c>
      <c r="L357" s="187">
        <f t="shared" si="74"/>
        <v>4.4437410000000002</v>
      </c>
      <c r="M357" s="187">
        <f t="shared" si="75"/>
        <v>1.1009040000000001E-2</v>
      </c>
      <c r="N357" s="187">
        <f t="shared" si="76"/>
        <v>0.28226538000000001</v>
      </c>
      <c r="O357" s="187">
        <f t="shared" si="77"/>
        <v>7.7614615852127491E-2</v>
      </c>
      <c r="P357" s="188">
        <f t="shared" si="78"/>
        <v>9.431651195037865E+17</v>
      </c>
      <c r="Q357" s="187">
        <f t="shared" si="79"/>
        <v>7680</v>
      </c>
      <c r="R357" s="219">
        <f t="shared" si="80"/>
        <v>36.095999999999997</v>
      </c>
      <c r="S357" s="219">
        <f t="shared" si="81"/>
        <v>0.8448</v>
      </c>
      <c r="T357" s="219">
        <f t="shared" si="82"/>
        <v>95.462399999999988</v>
      </c>
      <c r="U357" s="219">
        <f t="shared" si="83"/>
        <v>1.9240870924683486</v>
      </c>
      <c r="V357" s="188">
        <f t="shared" si="84"/>
        <v>7.7848935487645184E+16</v>
      </c>
      <c r="W357" s="323">
        <v>1.0529999999999999</v>
      </c>
      <c r="X357" s="323">
        <v>0.88</v>
      </c>
      <c r="Y357" s="323">
        <v>0.31900000000000001</v>
      </c>
      <c r="Z357" s="323">
        <v>0.128</v>
      </c>
      <c r="AA357" s="323">
        <v>26.5</v>
      </c>
      <c r="AB357" s="323">
        <v>22.3</v>
      </c>
      <c r="AC357" s="323">
        <v>8.9</v>
      </c>
      <c r="AD357" s="323">
        <v>4.7</v>
      </c>
      <c r="AE357" s="323">
        <v>0.04</v>
      </c>
      <c r="AF357" s="323">
        <v>0.04</v>
      </c>
      <c r="AG357" s="323">
        <v>0.06</v>
      </c>
      <c r="AH357" s="323">
        <v>0.11</v>
      </c>
      <c r="AI357" s="323">
        <v>0.53</v>
      </c>
      <c r="AJ357" s="323">
        <v>0.62</v>
      </c>
      <c r="AK357" s="323">
        <v>2.44</v>
      </c>
      <c r="AL357" s="323">
        <v>12.43</v>
      </c>
      <c r="AM357" s="323">
        <v>0.31820993323090696</v>
      </c>
      <c r="AN357" s="323">
        <v>0.33640793856023338</v>
      </c>
      <c r="AO357" s="323">
        <v>0.15737310660789813</v>
      </c>
      <c r="AP357" s="323">
        <v>0.20089347349848291</v>
      </c>
      <c r="AQ357" s="323">
        <v>0.37176993323090696</v>
      </c>
      <c r="AR357" s="323">
        <v>0.38840793856023337</v>
      </c>
      <c r="AS357" s="323">
        <v>0.20970810660789813</v>
      </c>
      <c r="AT357" s="323">
        <v>0.25053217349848289</v>
      </c>
      <c r="AU357" s="190">
        <v>2007009258366440</v>
      </c>
      <c r="AV357" s="190">
        <v>2121787464090322.3</v>
      </c>
      <c r="AW357" s="190">
        <v>7940651726940185</v>
      </c>
      <c r="AX357" s="190">
        <v>1.0136580141620466E+16</v>
      </c>
      <c r="AY357" s="203">
        <v>5.4</v>
      </c>
      <c r="AZ357" s="239">
        <v>111.2</v>
      </c>
      <c r="BA357" s="203">
        <v>1992</v>
      </c>
      <c r="BB357" s="204">
        <v>39296</v>
      </c>
      <c r="BC357" s="203" t="s">
        <v>1109</v>
      </c>
    </row>
    <row r="358" spans="1:55" x14ac:dyDescent="0.2">
      <c r="A358" s="184" t="s">
        <v>1649</v>
      </c>
      <c r="B358" s="184" t="s">
        <v>1648</v>
      </c>
      <c r="C358" s="184" t="s">
        <v>1634</v>
      </c>
      <c r="D358" s="185" t="s">
        <v>1043</v>
      </c>
      <c r="E358" s="184" t="s">
        <v>1650</v>
      </c>
      <c r="F358" s="184" t="s">
        <v>1650</v>
      </c>
      <c r="G358" s="186">
        <f>IF(ALECA_Input!$F$13="ICAO (3000ft)",'Aircraft Calc'!C$211,'Aircraft Calc'!G$211)</f>
        <v>0.7</v>
      </c>
      <c r="H358" s="186">
        <f>IF(ALECA_Input!$F$13="ICAO (3000ft)",'Aircraft Calc'!D$211,'Aircraft Calc'!H$211)</f>
        <v>2.2000000000000002</v>
      </c>
      <c r="I358" s="186">
        <f>IF(ALECA_Input!$F$13="ICAO (3000ft)",'Aircraft Calc'!E$211,'Aircraft Calc'!I$211)</f>
        <v>4</v>
      </c>
      <c r="J358" s="189">
        <v>1</v>
      </c>
      <c r="K358" s="187">
        <f t="shared" si="73"/>
        <v>236.946</v>
      </c>
      <c r="L358" s="187">
        <f t="shared" si="74"/>
        <v>4.4437410000000002</v>
      </c>
      <c r="M358" s="187">
        <f t="shared" si="75"/>
        <v>1.1009040000000001E-2</v>
      </c>
      <c r="N358" s="187">
        <f t="shared" si="76"/>
        <v>0.28226538000000001</v>
      </c>
      <c r="O358" s="187">
        <f t="shared" si="77"/>
        <v>7.7614615852127491E-2</v>
      </c>
      <c r="P358" s="188">
        <f t="shared" si="78"/>
        <v>9.431651195037865E+17</v>
      </c>
      <c r="Q358" s="187">
        <f t="shared" si="79"/>
        <v>7680</v>
      </c>
      <c r="R358" s="219">
        <f t="shared" si="80"/>
        <v>36.095999999999997</v>
      </c>
      <c r="S358" s="219">
        <f t="shared" si="81"/>
        <v>0.8448</v>
      </c>
      <c r="T358" s="219">
        <f t="shared" si="82"/>
        <v>95.462399999999988</v>
      </c>
      <c r="U358" s="219">
        <f t="shared" si="83"/>
        <v>1.9240870924683486</v>
      </c>
      <c r="V358" s="188">
        <f t="shared" si="84"/>
        <v>7.7848935487645184E+16</v>
      </c>
      <c r="W358" s="323">
        <v>1.0529999999999999</v>
      </c>
      <c r="X358" s="323">
        <v>0.88</v>
      </c>
      <c r="Y358" s="323">
        <v>0.31900000000000001</v>
      </c>
      <c r="Z358" s="323">
        <v>0.128</v>
      </c>
      <c r="AA358" s="323">
        <v>26.5</v>
      </c>
      <c r="AB358" s="323">
        <v>22.3</v>
      </c>
      <c r="AC358" s="323">
        <v>8.9</v>
      </c>
      <c r="AD358" s="323">
        <v>4.7</v>
      </c>
      <c r="AE358" s="323">
        <v>0.04</v>
      </c>
      <c r="AF358" s="323">
        <v>0.04</v>
      </c>
      <c r="AG358" s="323">
        <v>0.06</v>
      </c>
      <c r="AH358" s="323">
        <v>0.11</v>
      </c>
      <c r="AI358" s="323">
        <v>0.53</v>
      </c>
      <c r="AJ358" s="323">
        <v>0.62</v>
      </c>
      <c r="AK358" s="323">
        <v>2.44</v>
      </c>
      <c r="AL358" s="323">
        <v>12.43</v>
      </c>
      <c r="AM358" s="323">
        <v>0.31820993323090696</v>
      </c>
      <c r="AN358" s="323">
        <v>0.33640793856023338</v>
      </c>
      <c r="AO358" s="323">
        <v>0.15737310660789813</v>
      </c>
      <c r="AP358" s="323">
        <v>0.20089347349848291</v>
      </c>
      <c r="AQ358" s="323">
        <v>0.37176993323090696</v>
      </c>
      <c r="AR358" s="323">
        <v>0.38840793856023337</v>
      </c>
      <c r="AS358" s="323">
        <v>0.20970810660789813</v>
      </c>
      <c r="AT358" s="323">
        <v>0.25053217349848289</v>
      </c>
      <c r="AU358" s="190">
        <v>2007009258366440</v>
      </c>
      <c r="AV358" s="190">
        <v>2121787464090322.3</v>
      </c>
      <c r="AW358" s="190">
        <v>7940651726940185</v>
      </c>
      <c r="AX358" s="190">
        <v>1.0136580141620466E+16</v>
      </c>
      <c r="AY358" s="203">
        <v>5.4</v>
      </c>
      <c r="AZ358" s="239">
        <v>111.2</v>
      </c>
      <c r="BA358" s="203">
        <v>1992</v>
      </c>
      <c r="BB358" s="204">
        <v>39296</v>
      </c>
      <c r="BC358" s="203" t="s">
        <v>1109</v>
      </c>
    </row>
    <row r="359" spans="1:55" x14ac:dyDescent="0.2">
      <c r="A359" s="184" t="s">
        <v>1652</v>
      </c>
      <c r="B359" s="184" t="s">
        <v>1651</v>
      </c>
      <c r="C359" s="184" t="s">
        <v>1634</v>
      </c>
      <c r="D359" s="185" t="s">
        <v>1043</v>
      </c>
      <c r="E359" s="184" t="s">
        <v>1653</v>
      </c>
      <c r="F359" s="184" t="s">
        <v>1653</v>
      </c>
      <c r="G359" s="186">
        <f>IF(ALECA_Input!$F$13="ICAO (3000ft)",'Aircraft Calc'!C$211,'Aircraft Calc'!G$211)</f>
        <v>0.7</v>
      </c>
      <c r="H359" s="186">
        <f>IF(ALECA_Input!$F$13="ICAO (3000ft)",'Aircraft Calc'!D$211,'Aircraft Calc'!H$211)</f>
        <v>2.2000000000000002</v>
      </c>
      <c r="I359" s="186">
        <f>IF(ALECA_Input!$F$13="ICAO (3000ft)",'Aircraft Calc'!E$211,'Aircraft Calc'!I$211)</f>
        <v>4</v>
      </c>
      <c r="J359" s="189">
        <v>1</v>
      </c>
      <c r="K359" s="187">
        <f t="shared" si="73"/>
        <v>238.01400000000001</v>
      </c>
      <c r="L359" s="187">
        <f t="shared" si="74"/>
        <v>4.0189661999999995</v>
      </c>
      <c r="M359" s="187">
        <f t="shared" si="75"/>
        <v>1.028922E-2</v>
      </c>
      <c r="N359" s="187">
        <f t="shared" si="76"/>
        <v>0.26994420000000002</v>
      </c>
      <c r="O359" s="187">
        <f t="shared" si="77"/>
        <v>8.372459872239528E-2</v>
      </c>
      <c r="P359" s="188">
        <f t="shared" si="78"/>
        <v>1.4261617725938913E+18</v>
      </c>
      <c r="Q359" s="187">
        <f t="shared" si="79"/>
        <v>8040.0000000000009</v>
      </c>
      <c r="R359" s="219">
        <f t="shared" si="80"/>
        <v>41.72760000000001</v>
      </c>
      <c r="S359" s="219">
        <f t="shared" si="81"/>
        <v>1.1256000000000002</v>
      </c>
      <c r="T359" s="219">
        <f t="shared" si="82"/>
        <v>96.158400000000015</v>
      </c>
      <c r="U359" s="219">
        <f t="shared" si="83"/>
        <v>1.0843033049008828</v>
      </c>
      <c r="V359" s="188">
        <f t="shared" si="84"/>
        <v>3.4498791704435864E+16</v>
      </c>
      <c r="W359" s="323">
        <v>1.0489999999999999</v>
      </c>
      <c r="X359" s="323">
        <v>0.873</v>
      </c>
      <c r="Y359" s="323">
        <v>0.32800000000000001</v>
      </c>
      <c r="Z359" s="323">
        <v>0.13400000000000001</v>
      </c>
      <c r="AA359" s="323">
        <v>23.18</v>
      </c>
      <c r="AB359" s="323">
        <v>19.36</v>
      </c>
      <c r="AC359" s="323">
        <v>9.74</v>
      </c>
      <c r="AD359" s="323">
        <v>5.19</v>
      </c>
      <c r="AE359" s="323">
        <v>0.03</v>
      </c>
      <c r="AF359" s="323">
        <v>0.03</v>
      </c>
      <c r="AG359" s="323">
        <v>7.0000000000000007E-2</v>
      </c>
      <c r="AH359" s="323">
        <v>0.14000000000000001</v>
      </c>
      <c r="AI359" s="323">
        <v>0.42</v>
      </c>
      <c r="AJ359" s="323">
        <v>0.44</v>
      </c>
      <c r="AK359" s="323">
        <v>2.5499999999999998</v>
      </c>
      <c r="AL359" s="323">
        <v>11.96</v>
      </c>
      <c r="AM359" s="323">
        <v>0.26802855520858415</v>
      </c>
      <c r="AN359" s="323">
        <v>0.32479346870699438</v>
      </c>
      <c r="AO359" s="323">
        <v>0.2808693198309995</v>
      </c>
      <c r="AP359" s="323">
        <v>8.5039795136925708E-2</v>
      </c>
      <c r="AQ359" s="323">
        <v>0.32043855520858416</v>
      </c>
      <c r="AR359" s="323">
        <v>0.37603346870699433</v>
      </c>
      <c r="AS359" s="323">
        <v>0.33376681983099948</v>
      </c>
      <c r="AT359" s="323">
        <v>0.1348635951369257</v>
      </c>
      <c r="AU359" s="190">
        <v>1690505969905908.8</v>
      </c>
      <c r="AV359" s="190">
        <v>2048532841615813.8</v>
      </c>
      <c r="AW359" s="190">
        <v>1.4171960493335074E+16</v>
      </c>
      <c r="AX359" s="190">
        <v>4290894490601475</v>
      </c>
      <c r="AY359" s="203">
        <v>5.0999999999999996</v>
      </c>
      <c r="AZ359" s="239">
        <v>110.3</v>
      </c>
      <c r="BA359" s="203">
        <v>2009</v>
      </c>
      <c r="BB359" s="204">
        <v>41778</v>
      </c>
      <c r="BC359" s="203" t="s">
        <v>1654</v>
      </c>
    </row>
    <row r="360" spans="1:55" x14ac:dyDescent="0.2">
      <c r="A360" s="184" t="s">
        <v>1656</v>
      </c>
      <c r="B360" s="184" t="s">
        <v>1655</v>
      </c>
      <c r="C360" s="184" t="s">
        <v>1634</v>
      </c>
      <c r="D360" s="185" t="s">
        <v>1043</v>
      </c>
      <c r="E360" s="184" t="s">
        <v>1657</v>
      </c>
      <c r="F360" s="184" t="s">
        <v>1657</v>
      </c>
      <c r="G360" s="186">
        <f>IF(ALECA_Input!$F$13="ICAO (3000ft)",'Aircraft Calc'!C$211,'Aircraft Calc'!G$211)</f>
        <v>0.7</v>
      </c>
      <c r="H360" s="186">
        <f>IF(ALECA_Input!$F$13="ICAO (3000ft)",'Aircraft Calc'!D$211,'Aircraft Calc'!H$211)</f>
        <v>2.2000000000000002</v>
      </c>
      <c r="I360" s="186">
        <f>IF(ALECA_Input!$F$13="ICAO (3000ft)",'Aircraft Calc'!E$211,'Aircraft Calc'!I$211)</f>
        <v>4</v>
      </c>
      <c r="J360" s="189">
        <v>1</v>
      </c>
      <c r="K360" s="187">
        <f t="shared" si="73"/>
        <v>236.946</v>
      </c>
      <c r="L360" s="187">
        <f t="shared" si="74"/>
        <v>4.4437410000000002</v>
      </c>
      <c r="M360" s="187">
        <f t="shared" si="75"/>
        <v>1.1245985999999999E-2</v>
      </c>
      <c r="N360" s="187">
        <f t="shared" si="76"/>
        <v>0.28226538000000001</v>
      </c>
      <c r="O360" s="187">
        <f t="shared" si="77"/>
        <v>7.7632836502127475E-2</v>
      </c>
      <c r="P360" s="188">
        <f t="shared" si="78"/>
        <v>9.431651195037865E+17</v>
      </c>
      <c r="Q360" s="187">
        <f t="shared" si="79"/>
        <v>7680</v>
      </c>
      <c r="R360" s="219">
        <f t="shared" si="80"/>
        <v>36.095999999999997</v>
      </c>
      <c r="S360" s="219">
        <f t="shared" si="81"/>
        <v>0.80639999999999989</v>
      </c>
      <c r="T360" s="219">
        <f t="shared" si="82"/>
        <v>95.462399999999988</v>
      </c>
      <c r="U360" s="219">
        <f t="shared" si="83"/>
        <v>1.9238501644683488</v>
      </c>
      <c r="V360" s="188">
        <f t="shared" si="84"/>
        <v>7.7848935487645184E+16</v>
      </c>
      <c r="W360" s="323">
        <v>1.0529999999999999</v>
      </c>
      <c r="X360" s="323">
        <v>0.88</v>
      </c>
      <c r="Y360" s="323">
        <v>0.31900000000000001</v>
      </c>
      <c r="Z360" s="323">
        <v>0.128</v>
      </c>
      <c r="AA360" s="323">
        <v>26.5</v>
      </c>
      <c r="AB360" s="323">
        <v>22.3</v>
      </c>
      <c r="AC360" s="323">
        <v>8.9</v>
      </c>
      <c r="AD360" s="323">
        <v>4.7</v>
      </c>
      <c r="AE360" s="323">
        <v>4.1000000000000002E-2</v>
      </c>
      <c r="AF360" s="323">
        <v>4.1000000000000002E-2</v>
      </c>
      <c r="AG360" s="323">
        <v>6.0999999999999999E-2</v>
      </c>
      <c r="AH360" s="323">
        <v>0.105</v>
      </c>
      <c r="AI360" s="323">
        <v>0.53</v>
      </c>
      <c r="AJ360" s="323">
        <v>0.62</v>
      </c>
      <c r="AK360" s="323">
        <v>2.44</v>
      </c>
      <c r="AL360" s="323">
        <v>12.43</v>
      </c>
      <c r="AM360" s="323">
        <v>0.31820993323090696</v>
      </c>
      <c r="AN360" s="323">
        <v>0.33640793856023338</v>
      </c>
      <c r="AO360" s="323">
        <v>0.15737310660789813</v>
      </c>
      <c r="AP360" s="323">
        <v>0.20089347349848291</v>
      </c>
      <c r="AQ360" s="323">
        <v>0.37188493323090699</v>
      </c>
      <c r="AR360" s="323">
        <v>0.38848393856023339</v>
      </c>
      <c r="AS360" s="323">
        <v>0.20976435660789813</v>
      </c>
      <c r="AT360" s="323">
        <v>0.25050132349848292</v>
      </c>
      <c r="AU360" s="190">
        <v>2007009258366440</v>
      </c>
      <c r="AV360" s="190">
        <v>2121787464090322.3</v>
      </c>
      <c r="AW360" s="190">
        <v>7940651726940185</v>
      </c>
      <c r="AX360" s="190">
        <v>1.0136580141620466E+16</v>
      </c>
      <c r="AY360" s="203">
        <v>5.4</v>
      </c>
      <c r="AZ360" s="239">
        <v>111.2</v>
      </c>
      <c r="BA360" s="203">
        <v>1992</v>
      </c>
      <c r="BB360" s="204">
        <v>35684</v>
      </c>
      <c r="BC360" s="203" t="s">
        <v>1109</v>
      </c>
    </row>
    <row r="361" spans="1:55" x14ac:dyDescent="0.2">
      <c r="A361" s="184" t="s">
        <v>1659</v>
      </c>
      <c r="B361" s="184" t="s">
        <v>1658</v>
      </c>
      <c r="C361" s="184" t="s">
        <v>1634</v>
      </c>
      <c r="D361" s="185" t="s">
        <v>1043</v>
      </c>
      <c r="E361" s="184" t="s">
        <v>1660</v>
      </c>
      <c r="F361" s="184" t="s">
        <v>1660</v>
      </c>
      <c r="G361" s="186">
        <f>IF(ALECA_Input!$F$13="ICAO (3000ft)",'Aircraft Calc'!C$211,'Aircraft Calc'!G$211)</f>
        <v>0.7</v>
      </c>
      <c r="H361" s="186">
        <f>IF(ALECA_Input!$F$13="ICAO (3000ft)",'Aircraft Calc'!D$211,'Aircraft Calc'!H$211)</f>
        <v>2.2000000000000002</v>
      </c>
      <c r="I361" s="186">
        <f>IF(ALECA_Input!$F$13="ICAO (3000ft)",'Aircraft Calc'!E$211,'Aircraft Calc'!I$211)</f>
        <v>4</v>
      </c>
      <c r="J361" s="189">
        <v>1</v>
      </c>
      <c r="K361" s="187">
        <f t="shared" si="73"/>
        <v>266.97000000000003</v>
      </c>
      <c r="L361" s="187">
        <f t="shared" si="74"/>
        <v>5.6619882000000006</v>
      </c>
      <c r="M361" s="187">
        <f t="shared" si="75"/>
        <v>1.2487566E-2</v>
      </c>
      <c r="N361" s="187">
        <f t="shared" si="76"/>
        <v>0.26947158000000004</v>
      </c>
      <c r="O361" s="187">
        <f t="shared" si="77"/>
        <v>8.5706768795841257E-2</v>
      </c>
      <c r="P361" s="188">
        <f t="shared" si="78"/>
        <v>1.0247083859243654E+18</v>
      </c>
      <c r="Q361" s="187">
        <f t="shared" si="79"/>
        <v>8040.0000000000009</v>
      </c>
      <c r="R361" s="219">
        <f t="shared" si="80"/>
        <v>39.396000000000008</v>
      </c>
      <c r="S361" s="219">
        <f t="shared" si="81"/>
        <v>0.82008000000000003</v>
      </c>
      <c r="T361" s="219">
        <f t="shared" si="82"/>
        <v>92.7012</v>
      </c>
      <c r="U361" s="219">
        <f t="shared" si="83"/>
        <v>1.9695491774931908</v>
      </c>
      <c r="V361" s="188">
        <f t="shared" si="84"/>
        <v>7.9261190509700256E+16</v>
      </c>
      <c r="W361" s="323">
        <v>1.2090000000000001</v>
      </c>
      <c r="X361" s="323">
        <v>0.996</v>
      </c>
      <c r="Y361" s="323">
        <v>0.35299999999999998</v>
      </c>
      <c r="Z361" s="323">
        <v>0.13400000000000001</v>
      </c>
      <c r="AA361" s="323">
        <v>30.5</v>
      </c>
      <c r="AB361" s="323">
        <v>25.1</v>
      </c>
      <c r="AC361" s="323">
        <v>9.6</v>
      </c>
      <c r="AD361" s="323">
        <v>4.9000000000000004</v>
      </c>
      <c r="AE361" s="323">
        <v>4.2999999999999997E-2</v>
      </c>
      <c r="AF361" s="323">
        <v>4.1000000000000002E-2</v>
      </c>
      <c r="AG361" s="323">
        <v>5.8000000000000003E-2</v>
      </c>
      <c r="AH361" s="323">
        <v>0.10199999999999999</v>
      </c>
      <c r="AI361" s="323">
        <v>0.47000000000000003</v>
      </c>
      <c r="AJ361" s="323">
        <v>0.56000000000000005</v>
      </c>
      <c r="AK361" s="323">
        <v>2.0300000000000002</v>
      </c>
      <c r="AL361" s="323">
        <v>11.53</v>
      </c>
      <c r="AM361" s="323">
        <v>0.30949478451649753</v>
      </c>
      <c r="AN361" s="323">
        <v>0.32719030480763922</v>
      </c>
      <c r="AO361" s="323">
        <v>0.15305553248338769</v>
      </c>
      <c r="AP361" s="323">
        <v>0.19537946317079485</v>
      </c>
      <c r="AQ361" s="323">
        <v>0.36339978451649746</v>
      </c>
      <c r="AR361" s="323">
        <v>0.37926630480763923</v>
      </c>
      <c r="AS361" s="323">
        <v>0.20527803248338769</v>
      </c>
      <c r="AT361" s="323">
        <v>0.24496880317079484</v>
      </c>
      <c r="AU361" s="190">
        <v>1952041193792642.8</v>
      </c>
      <c r="AV361" s="190">
        <v>2063650132883055.8</v>
      </c>
      <c r="AW361" s="190">
        <v>7722797779928724</v>
      </c>
      <c r="AX361" s="190">
        <v>9858357028569682</v>
      </c>
      <c r="AY361" s="203">
        <v>6.7</v>
      </c>
      <c r="AZ361" s="239">
        <v>124.5</v>
      </c>
      <c r="BA361" s="203">
        <v>1992</v>
      </c>
      <c r="BB361" s="204">
        <v>35684</v>
      </c>
      <c r="BC361" s="203" t="s">
        <v>1109</v>
      </c>
    </row>
    <row r="362" spans="1:55" x14ac:dyDescent="0.2">
      <c r="A362" s="184" t="s">
        <v>1662</v>
      </c>
      <c r="B362" s="184" t="s">
        <v>1661</v>
      </c>
      <c r="C362" s="184" t="s">
        <v>1634</v>
      </c>
      <c r="D362" s="185" t="s">
        <v>1043</v>
      </c>
      <c r="E362" s="184" t="s">
        <v>1663</v>
      </c>
      <c r="F362" s="184" t="s">
        <v>1663</v>
      </c>
      <c r="G362" s="186">
        <f>IF(ALECA_Input!$F$13="ICAO (3000ft)",'Aircraft Calc'!C$211,'Aircraft Calc'!G$211)</f>
        <v>0.7</v>
      </c>
      <c r="H362" s="186">
        <f>IF(ALECA_Input!$F$13="ICAO (3000ft)",'Aircraft Calc'!D$211,'Aircraft Calc'!H$211)</f>
        <v>2.2000000000000002</v>
      </c>
      <c r="I362" s="186">
        <f>IF(ALECA_Input!$F$13="ICAO (3000ft)",'Aircraft Calc'!E$211,'Aircraft Calc'!I$211)</f>
        <v>4</v>
      </c>
      <c r="J362" s="189">
        <v>1</v>
      </c>
      <c r="K362" s="187">
        <f t="shared" si="73"/>
        <v>288.54599999999999</v>
      </c>
      <c r="L362" s="187">
        <f t="shared" si="74"/>
        <v>6.6559800000000005</v>
      </c>
      <c r="M362" s="187">
        <f t="shared" si="75"/>
        <v>1.3411194000000001E-2</v>
      </c>
      <c r="N362" s="187">
        <f t="shared" si="76"/>
        <v>0.26284998000000004</v>
      </c>
      <c r="O362" s="187">
        <f t="shared" si="77"/>
        <v>9.1167826523544562E-2</v>
      </c>
      <c r="P362" s="188">
        <f t="shared" si="78"/>
        <v>1.0779715433656704E+18</v>
      </c>
      <c r="Q362" s="187">
        <f t="shared" si="79"/>
        <v>8280.0000000000018</v>
      </c>
      <c r="R362" s="219">
        <f t="shared" si="80"/>
        <v>41.400000000000006</v>
      </c>
      <c r="S362" s="219">
        <f t="shared" si="81"/>
        <v>0.82800000000000018</v>
      </c>
      <c r="T362" s="219">
        <f t="shared" si="82"/>
        <v>90.666000000000025</v>
      </c>
      <c r="U362" s="219">
        <f t="shared" si="83"/>
        <v>1.9939975109192392</v>
      </c>
      <c r="V362" s="188">
        <f t="shared" si="84"/>
        <v>7.9899430664511648E+16</v>
      </c>
      <c r="W362" s="323">
        <v>1.331</v>
      </c>
      <c r="X362" s="323">
        <v>1.077</v>
      </c>
      <c r="Y362" s="323">
        <v>0.377</v>
      </c>
      <c r="Z362" s="323">
        <v>0.13800000000000001</v>
      </c>
      <c r="AA362" s="323">
        <v>33.799999999999997</v>
      </c>
      <c r="AB362" s="323">
        <v>27.1</v>
      </c>
      <c r="AC362" s="323">
        <v>10.1</v>
      </c>
      <c r="AD362" s="323">
        <v>5</v>
      </c>
      <c r="AE362" s="323">
        <v>4.4999999999999998E-2</v>
      </c>
      <c r="AF362" s="323">
        <v>4.1000000000000002E-2</v>
      </c>
      <c r="AG362" s="323">
        <v>5.6000000000000001E-2</v>
      </c>
      <c r="AH362" s="323">
        <v>0.1</v>
      </c>
      <c r="AI362" s="323">
        <v>0.45</v>
      </c>
      <c r="AJ362" s="323">
        <v>0.52</v>
      </c>
      <c r="AK362" s="323">
        <v>1.81</v>
      </c>
      <c r="AL362" s="323">
        <v>10.950000000000001</v>
      </c>
      <c r="AM362" s="323">
        <v>0.30295842298069042</v>
      </c>
      <c r="AN362" s="323">
        <v>0.32027707949319356</v>
      </c>
      <c r="AO362" s="323">
        <v>0.14981735189000486</v>
      </c>
      <c r="AP362" s="323">
        <v>0.19124395542502887</v>
      </c>
      <c r="AQ362" s="323">
        <v>0.35709342298069041</v>
      </c>
      <c r="AR362" s="323">
        <v>0.37235307949319352</v>
      </c>
      <c r="AS362" s="323">
        <v>0.20192735189000488</v>
      </c>
      <c r="AT362" s="323">
        <v>0.24082095542502885</v>
      </c>
      <c r="AU362" s="190">
        <v>1910815145362295.3</v>
      </c>
      <c r="AV362" s="190">
        <v>2020047134477605.3</v>
      </c>
      <c r="AW362" s="190">
        <v>7559407319670127</v>
      </c>
      <c r="AX362" s="190">
        <v>9649689693781598</v>
      </c>
      <c r="AY362" s="203">
        <v>7.7</v>
      </c>
      <c r="AZ362" s="239">
        <v>133.4</v>
      </c>
      <c r="BA362" s="203">
        <v>1992</v>
      </c>
      <c r="BB362" s="204">
        <v>35684</v>
      </c>
      <c r="BC362" s="203" t="s">
        <v>1109</v>
      </c>
    </row>
    <row r="363" spans="1:55" x14ac:dyDescent="0.2">
      <c r="A363" s="184" t="s">
        <v>1665</v>
      </c>
      <c r="B363" s="184" t="s">
        <v>1664</v>
      </c>
      <c r="C363" s="184" t="s">
        <v>1634</v>
      </c>
      <c r="D363" s="185" t="s">
        <v>1043</v>
      </c>
      <c r="E363" s="184" t="s">
        <v>1666</v>
      </c>
      <c r="F363" s="184" t="s">
        <v>1666</v>
      </c>
      <c r="G363" s="186">
        <f>IF(ALECA_Input!$F$13="ICAO (3000ft)",'Aircraft Calc'!C$211,'Aircraft Calc'!G$211)</f>
        <v>0.7</v>
      </c>
      <c r="H363" s="186">
        <f>IF(ALECA_Input!$F$13="ICAO (3000ft)",'Aircraft Calc'!D$211,'Aircraft Calc'!H$211)</f>
        <v>2.2000000000000002</v>
      </c>
      <c r="I363" s="186">
        <f>IF(ALECA_Input!$F$13="ICAO (3000ft)",'Aircraft Calc'!E$211,'Aircraft Calc'!I$211)</f>
        <v>4</v>
      </c>
      <c r="J363" s="189">
        <v>1</v>
      </c>
      <c r="K363" s="187">
        <f t="shared" si="73"/>
        <v>304.63319999999999</v>
      </c>
      <c r="L363" s="187">
        <f t="shared" si="74"/>
        <v>7.5314694120000008</v>
      </c>
      <c r="M363" s="187">
        <f t="shared" si="75"/>
        <v>1.4181478799999998E-2</v>
      </c>
      <c r="N363" s="187">
        <f t="shared" si="76"/>
        <v>0.12103989</v>
      </c>
      <c r="O363" s="187">
        <f t="shared" si="77"/>
        <v>9.5417099585366011E-2</v>
      </c>
      <c r="P363" s="188">
        <f t="shared" si="78"/>
        <v>1.1112095219545514E+18</v>
      </c>
      <c r="Q363" s="187">
        <f t="shared" si="79"/>
        <v>8178.0000000000009</v>
      </c>
      <c r="R363" s="219">
        <f t="shared" si="80"/>
        <v>42.852720000000005</v>
      </c>
      <c r="S363" s="219">
        <f t="shared" si="81"/>
        <v>0.81780000000000008</v>
      </c>
      <c r="T363" s="219">
        <f t="shared" si="82"/>
        <v>76.194426000000007</v>
      </c>
      <c r="U363" s="219">
        <f t="shared" si="83"/>
        <v>1.9468869852359698</v>
      </c>
      <c r="V363" s="188">
        <f t="shared" si="84"/>
        <v>7.777750800648128E+16</v>
      </c>
      <c r="W363" s="323">
        <v>1.4263999999999999</v>
      </c>
      <c r="X363" s="323">
        <v>1.1447000000000001</v>
      </c>
      <c r="Y363" s="323">
        <v>0.3901</v>
      </c>
      <c r="Z363" s="323">
        <v>0.1363</v>
      </c>
      <c r="AA363" s="323">
        <v>36.480000000000004</v>
      </c>
      <c r="AB363" s="323">
        <v>28.67</v>
      </c>
      <c r="AC363" s="323">
        <v>10.83</v>
      </c>
      <c r="AD363" s="323">
        <v>5.24</v>
      </c>
      <c r="AE363" s="323">
        <v>4.7E-2</v>
      </c>
      <c r="AF363" s="323">
        <v>4.2999999999999997E-2</v>
      </c>
      <c r="AG363" s="323">
        <v>5.1999999999999998E-2</v>
      </c>
      <c r="AH363" s="323">
        <v>0.1</v>
      </c>
      <c r="AI363" s="323">
        <v>0.46300000000000002</v>
      </c>
      <c r="AJ363" s="323">
        <v>0.51500000000000001</v>
      </c>
      <c r="AK363" s="323">
        <v>0.16539999999999999</v>
      </c>
      <c r="AL363" s="323">
        <v>9.3170000000000002</v>
      </c>
      <c r="AM363" s="323">
        <v>0.29860084862348574</v>
      </c>
      <c r="AN363" s="323">
        <v>0.3156682626168964</v>
      </c>
      <c r="AO363" s="323">
        <v>0.14765856482774964</v>
      </c>
      <c r="AP363" s="323">
        <v>0.18848695026118484</v>
      </c>
      <c r="AQ363" s="323">
        <v>0.35296584862348573</v>
      </c>
      <c r="AR363" s="323">
        <v>0.36789626261689645</v>
      </c>
      <c r="AS363" s="323">
        <v>0.19954356482774963</v>
      </c>
      <c r="AT363" s="323">
        <v>0.23806395026118485</v>
      </c>
      <c r="AU363" s="190">
        <v>1883331113075396.8</v>
      </c>
      <c r="AV363" s="190">
        <v>1990978468873971.5</v>
      </c>
      <c r="AW363" s="190">
        <v>7450480346164397</v>
      </c>
      <c r="AX363" s="190">
        <v>9510578137256208</v>
      </c>
      <c r="AY363" s="203">
        <v>8.6</v>
      </c>
      <c r="AZ363" s="239">
        <v>140.56</v>
      </c>
      <c r="BA363" s="203">
        <v>1992</v>
      </c>
      <c r="BB363" s="204">
        <v>35684</v>
      </c>
      <c r="BC363" s="203" t="s">
        <v>1109</v>
      </c>
    </row>
    <row r="364" spans="1:55" x14ac:dyDescent="0.2">
      <c r="A364" s="184" t="s">
        <v>1668</v>
      </c>
      <c r="B364" s="184" t="s">
        <v>1667</v>
      </c>
      <c r="C364" s="184" t="s">
        <v>1052</v>
      </c>
      <c r="D364" s="185" t="s">
        <v>1043</v>
      </c>
      <c r="E364" s="184" t="s">
        <v>1669</v>
      </c>
      <c r="F364" s="184" t="s">
        <v>1669</v>
      </c>
      <c r="G364" s="186">
        <f>IF(ALECA_Input!$F$13="ICAO (3000ft)",'Aircraft Calc'!C$211,'Aircraft Calc'!G$211)</f>
        <v>0.7</v>
      </c>
      <c r="H364" s="186">
        <f>IF(ALECA_Input!$F$13="ICAO (3000ft)",'Aircraft Calc'!D$211,'Aircraft Calc'!H$211)</f>
        <v>2.2000000000000002</v>
      </c>
      <c r="I364" s="186">
        <f>IF(ALECA_Input!$F$13="ICAO (3000ft)",'Aircraft Calc'!E$211,'Aircraft Calc'!I$211)</f>
        <v>4</v>
      </c>
      <c r="J364" s="189">
        <v>1</v>
      </c>
      <c r="K364" s="187">
        <f t="shared" si="73"/>
        <v>254.4</v>
      </c>
      <c r="L364" s="187">
        <f t="shared" si="74"/>
        <v>3.9967200000000003</v>
      </c>
      <c r="M364" s="187">
        <f t="shared" si="75"/>
        <v>7.1999999999999998E-3</v>
      </c>
      <c r="N364" s="187">
        <f t="shared" si="76"/>
        <v>0.25968000000000002</v>
      </c>
      <c r="O364" s="187">
        <f t="shared" si="77"/>
        <v>2.6761386190512444E-2</v>
      </c>
      <c r="P364" s="188">
        <f t="shared" si="78"/>
        <v>1.4354508514376142E+17</v>
      </c>
      <c r="Q364" s="187">
        <f t="shared" si="79"/>
        <v>6000</v>
      </c>
      <c r="R364" s="219">
        <f t="shared" si="80"/>
        <v>25.799999999999997</v>
      </c>
      <c r="S364" s="219">
        <f t="shared" si="81"/>
        <v>10.8</v>
      </c>
      <c r="T364" s="219">
        <f t="shared" si="82"/>
        <v>185.39999999999998</v>
      </c>
      <c r="U364" s="219">
        <f t="shared" si="83"/>
        <v>0.49472641669116213</v>
      </c>
      <c r="V364" s="188">
        <f t="shared" si="84"/>
        <v>6777975463983994</v>
      </c>
      <c r="W364" s="323">
        <v>1.2</v>
      </c>
      <c r="X364" s="323">
        <v>1</v>
      </c>
      <c r="Y364" s="323">
        <v>0.3</v>
      </c>
      <c r="Z364" s="323">
        <v>0.1</v>
      </c>
      <c r="AA364" s="323">
        <v>21.8</v>
      </c>
      <c r="AB364" s="323">
        <v>17.100000000000001</v>
      </c>
      <c r="AC364" s="323">
        <v>8.9</v>
      </c>
      <c r="AD364" s="323">
        <v>4.3</v>
      </c>
      <c r="AE364" s="323">
        <v>0</v>
      </c>
      <c r="AF364" s="323">
        <v>0</v>
      </c>
      <c r="AG364" s="323">
        <v>0.1</v>
      </c>
      <c r="AH364" s="323">
        <v>1.8</v>
      </c>
      <c r="AI364" s="323">
        <v>0.2</v>
      </c>
      <c r="AJ364" s="323">
        <v>0.2</v>
      </c>
      <c r="AK364" s="323">
        <v>3.1</v>
      </c>
      <c r="AL364" s="323">
        <v>30.9</v>
      </c>
      <c r="AM364" s="323">
        <v>7.5658183477462199E-2</v>
      </c>
      <c r="AN364" s="323">
        <v>6.6836056470619312E-2</v>
      </c>
      <c r="AO364" s="323">
        <v>1.7575420682313912E-2</v>
      </c>
      <c r="AP364" s="323">
        <v>2.2388402781860346E-2</v>
      </c>
      <c r="AQ364" s="323">
        <v>0.1246181834774622</v>
      </c>
      <c r="AR364" s="323">
        <v>0.1157960564706193</v>
      </c>
      <c r="AS364" s="323">
        <v>7.2160420682313917E-2</v>
      </c>
      <c r="AT364" s="323">
        <v>8.245440278186035E-2</v>
      </c>
      <c r="AU364" s="190">
        <v>477190240947842.69</v>
      </c>
      <c r="AV364" s="190">
        <v>421547444378164.44</v>
      </c>
      <c r="AW364" s="190">
        <v>886811588084339.5</v>
      </c>
      <c r="AX364" s="190">
        <v>1129662577330665.8</v>
      </c>
      <c r="AY364" s="203">
        <v>4.7</v>
      </c>
      <c r="AZ364" s="239">
        <v>117</v>
      </c>
      <c r="BA364" s="203">
        <v>2006</v>
      </c>
      <c r="BB364" s="204">
        <v>41212</v>
      </c>
      <c r="BC364" s="203" t="s">
        <v>716</v>
      </c>
    </row>
    <row r="365" spans="1:55" x14ac:dyDescent="0.2">
      <c r="A365" s="184" t="s">
        <v>1671</v>
      </c>
      <c r="B365" s="184" t="s">
        <v>1670</v>
      </c>
      <c r="C365" s="184" t="s">
        <v>1052</v>
      </c>
      <c r="D365" s="185" t="s">
        <v>1043</v>
      </c>
      <c r="E365" s="184" t="s">
        <v>1672</v>
      </c>
      <c r="F365" s="184" t="s">
        <v>1672</v>
      </c>
      <c r="G365" s="186">
        <f>IF(ALECA_Input!$F$13="ICAO (3000ft)",'Aircraft Calc'!C$211,'Aircraft Calc'!G$211)</f>
        <v>0.7</v>
      </c>
      <c r="H365" s="186">
        <f>IF(ALECA_Input!$F$13="ICAO (3000ft)",'Aircraft Calc'!D$211,'Aircraft Calc'!H$211)</f>
        <v>2.2000000000000002</v>
      </c>
      <c r="I365" s="186">
        <f>IF(ALECA_Input!$F$13="ICAO (3000ft)",'Aircraft Calc'!E$211,'Aircraft Calc'!I$211)</f>
        <v>4</v>
      </c>
      <c r="J365" s="189">
        <v>1</v>
      </c>
      <c r="K365" s="187">
        <f t="shared" si="73"/>
        <v>258.60000000000002</v>
      </c>
      <c r="L365" s="187">
        <f t="shared" si="74"/>
        <v>4.32294</v>
      </c>
      <c r="M365" s="187">
        <f t="shared" si="75"/>
        <v>7.1999999999999998E-3</v>
      </c>
      <c r="N365" s="187">
        <f t="shared" si="76"/>
        <v>0.24437999999999999</v>
      </c>
      <c r="O365" s="187">
        <f t="shared" si="77"/>
        <v>2.835193892273722E-2</v>
      </c>
      <c r="P365" s="188">
        <f t="shared" si="78"/>
        <v>1.522800378947863E+17</v>
      </c>
      <c r="Q365" s="187">
        <f t="shared" si="79"/>
        <v>6000</v>
      </c>
      <c r="R365" s="219">
        <f t="shared" si="80"/>
        <v>26.400000000000002</v>
      </c>
      <c r="S365" s="219">
        <f t="shared" si="81"/>
        <v>9</v>
      </c>
      <c r="T365" s="219">
        <f t="shared" si="82"/>
        <v>176.39999999999998</v>
      </c>
      <c r="U365" s="219">
        <f t="shared" si="83"/>
        <v>0.48362041669116218</v>
      </c>
      <c r="V365" s="188">
        <f t="shared" si="84"/>
        <v>6777975463983994</v>
      </c>
      <c r="W365" s="323">
        <v>1.3</v>
      </c>
      <c r="X365" s="323">
        <v>1</v>
      </c>
      <c r="Y365" s="323">
        <v>0.3</v>
      </c>
      <c r="Z365" s="323">
        <v>0.1</v>
      </c>
      <c r="AA365" s="323">
        <v>23.9</v>
      </c>
      <c r="AB365" s="323">
        <v>17.899999999999999</v>
      </c>
      <c r="AC365" s="323">
        <v>9.1</v>
      </c>
      <c r="AD365" s="323">
        <v>4.4000000000000004</v>
      </c>
      <c r="AE365" s="323">
        <v>0</v>
      </c>
      <c r="AF365" s="323">
        <v>0</v>
      </c>
      <c r="AG365" s="323">
        <v>0.1</v>
      </c>
      <c r="AH365" s="323">
        <v>1.5</v>
      </c>
      <c r="AI365" s="323">
        <v>0.3</v>
      </c>
      <c r="AJ365" s="323">
        <v>0.2</v>
      </c>
      <c r="AK365" s="323">
        <v>2.8</v>
      </c>
      <c r="AL365" s="323">
        <v>29.4</v>
      </c>
      <c r="AM365" s="323">
        <v>7.7375414551105873E-2</v>
      </c>
      <c r="AN365" s="323">
        <v>7.4210265144850296E-2</v>
      </c>
      <c r="AO365" s="323">
        <v>1.7575420682313912E-2</v>
      </c>
      <c r="AP365" s="323">
        <v>2.2388402781860346E-2</v>
      </c>
      <c r="AQ365" s="323">
        <v>0.12633541455110586</v>
      </c>
      <c r="AR365" s="323">
        <v>0.1231702651448503</v>
      </c>
      <c r="AS365" s="323">
        <v>7.2160420682313917E-2</v>
      </c>
      <c r="AT365" s="323">
        <v>8.0603402781860359E-2</v>
      </c>
      <c r="AU365" s="190">
        <v>488021136855345.69</v>
      </c>
      <c r="AV365" s="190">
        <v>468057950609181.69</v>
      </c>
      <c r="AW365" s="190">
        <v>886811588084339.5</v>
      </c>
      <c r="AX365" s="190">
        <v>1129662577330665.8</v>
      </c>
      <c r="AY365" s="203">
        <v>5</v>
      </c>
      <c r="AZ365" s="239">
        <v>121.4</v>
      </c>
      <c r="BA365" s="203">
        <v>2006</v>
      </c>
      <c r="BB365" s="204">
        <v>41212</v>
      </c>
      <c r="BC365" s="203" t="s">
        <v>716</v>
      </c>
    </row>
    <row r="366" spans="1:55" x14ac:dyDescent="0.2">
      <c r="A366" s="184" t="s">
        <v>1674</v>
      </c>
      <c r="B366" s="184" t="s">
        <v>1673</v>
      </c>
      <c r="C366" s="184" t="s">
        <v>1052</v>
      </c>
      <c r="D366" s="185" t="s">
        <v>1043</v>
      </c>
      <c r="E366" s="184" t="s">
        <v>1675</v>
      </c>
      <c r="F366" s="184" t="s">
        <v>1675</v>
      </c>
      <c r="G366" s="186">
        <f>IF(ALECA_Input!$F$13="ICAO (3000ft)",'Aircraft Calc'!C$211,'Aircraft Calc'!G$211)</f>
        <v>0.7</v>
      </c>
      <c r="H366" s="186">
        <f>IF(ALECA_Input!$F$13="ICAO (3000ft)",'Aircraft Calc'!D$211,'Aircraft Calc'!H$211)</f>
        <v>2.2000000000000002</v>
      </c>
      <c r="I366" s="186">
        <f>IF(ALECA_Input!$F$13="ICAO (3000ft)",'Aircraft Calc'!E$211,'Aircraft Calc'!I$211)</f>
        <v>4</v>
      </c>
      <c r="J366" s="189">
        <v>1</v>
      </c>
      <c r="K366" s="187">
        <f t="shared" si="73"/>
        <v>258.60000000000002</v>
      </c>
      <c r="L366" s="187">
        <f t="shared" si="74"/>
        <v>4.32294</v>
      </c>
      <c r="M366" s="187">
        <f t="shared" si="75"/>
        <v>7.1999999999999998E-3</v>
      </c>
      <c r="N366" s="187">
        <f t="shared" si="76"/>
        <v>0.24437999999999999</v>
      </c>
      <c r="O366" s="187">
        <f t="shared" si="77"/>
        <v>2.835193892273722E-2</v>
      </c>
      <c r="P366" s="188">
        <f t="shared" si="78"/>
        <v>1.522800378947863E+17</v>
      </c>
      <c r="Q366" s="187">
        <f t="shared" si="79"/>
        <v>6000</v>
      </c>
      <c r="R366" s="219">
        <f t="shared" si="80"/>
        <v>26.400000000000002</v>
      </c>
      <c r="S366" s="219">
        <f t="shared" si="81"/>
        <v>9</v>
      </c>
      <c r="T366" s="219">
        <f t="shared" si="82"/>
        <v>176.39999999999998</v>
      </c>
      <c r="U366" s="219">
        <f t="shared" si="83"/>
        <v>0.48362041669116218</v>
      </c>
      <c r="V366" s="188">
        <f t="shared" si="84"/>
        <v>6777975463983994</v>
      </c>
      <c r="W366" s="323">
        <v>1.3</v>
      </c>
      <c r="X366" s="323">
        <v>1</v>
      </c>
      <c r="Y366" s="323">
        <v>0.3</v>
      </c>
      <c r="Z366" s="323">
        <v>0.1</v>
      </c>
      <c r="AA366" s="323">
        <v>23.9</v>
      </c>
      <c r="AB366" s="323">
        <v>17.899999999999999</v>
      </c>
      <c r="AC366" s="323">
        <v>9.1</v>
      </c>
      <c r="AD366" s="323">
        <v>4.4000000000000004</v>
      </c>
      <c r="AE366" s="323">
        <v>0</v>
      </c>
      <c r="AF366" s="323">
        <v>0</v>
      </c>
      <c r="AG366" s="323">
        <v>0.1</v>
      </c>
      <c r="AH366" s="323">
        <v>1.5</v>
      </c>
      <c r="AI366" s="323">
        <v>0.3</v>
      </c>
      <c r="AJ366" s="323">
        <v>0.2</v>
      </c>
      <c r="AK366" s="323">
        <v>2.8</v>
      </c>
      <c r="AL366" s="323">
        <v>29.4</v>
      </c>
      <c r="AM366" s="323">
        <v>7.7375414551105873E-2</v>
      </c>
      <c r="AN366" s="323">
        <v>7.4210265144850296E-2</v>
      </c>
      <c r="AO366" s="323">
        <v>1.7575420682313912E-2</v>
      </c>
      <c r="AP366" s="323">
        <v>2.2388402781860346E-2</v>
      </c>
      <c r="AQ366" s="323">
        <v>0.12633541455110586</v>
      </c>
      <c r="AR366" s="323">
        <v>0.1231702651448503</v>
      </c>
      <c r="AS366" s="323">
        <v>7.2160420682313917E-2</v>
      </c>
      <c r="AT366" s="323">
        <v>8.0603402781860359E-2</v>
      </c>
      <c r="AU366" s="190">
        <v>488021136855345.69</v>
      </c>
      <c r="AV366" s="190">
        <v>468057950609181.69</v>
      </c>
      <c r="AW366" s="190">
        <v>886811588084339.5</v>
      </c>
      <c r="AX366" s="190">
        <v>1129662577330665.8</v>
      </c>
      <c r="AY366" s="203">
        <v>5</v>
      </c>
      <c r="AZ366" s="239">
        <v>121.4</v>
      </c>
      <c r="BA366" s="203">
        <v>2006</v>
      </c>
      <c r="BB366" s="204">
        <v>41212</v>
      </c>
      <c r="BC366" s="203" t="s">
        <v>716</v>
      </c>
    </row>
    <row r="367" spans="1:55" x14ac:dyDescent="0.2">
      <c r="A367" s="184" t="s">
        <v>1677</v>
      </c>
      <c r="B367" s="184" t="s">
        <v>1676</v>
      </c>
      <c r="C367" s="184" t="s">
        <v>1052</v>
      </c>
      <c r="D367" s="185" t="s">
        <v>1043</v>
      </c>
      <c r="E367" s="184" t="s">
        <v>1678</v>
      </c>
      <c r="F367" s="184" t="s">
        <v>1678</v>
      </c>
      <c r="G367" s="186">
        <f>IF(ALECA_Input!$F$13="ICAO (3000ft)",'Aircraft Calc'!C$211,'Aircraft Calc'!G$211)</f>
        <v>0.7</v>
      </c>
      <c r="H367" s="186">
        <f>IF(ALECA_Input!$F$13="ICAO (3000ft)",'Aircraft Calc'!D$211,'Aircraft Calc'!H$211)</f>
        <v>2.2000000000000002</v>
      </c>
      <c r="I367" s="186">
        <f>IF(ALECA_Input!$F$13="ICAO (3000ft)",'Aircraft Calc'!E$211,'Aircraft Calc'!I$211)</f>
        <v>4</v>
      </c>
      <c r="J367" s="189">
        <v>1</v>
      </c>
      <c r="K367" s="187">
        <f t="shared" si="73"/>
        <v>258.60000000000002</v>
      </c>
      <c r="L367" s="187">
        <f t="shared" si="74"/>
        <v>4.32294</v>
      </c>
      <c r="M367" s="187">
        <f t="shared" si="75"/>
        <v>7.1999999999999998E-3</v>
      </c>
      <c r="N367" s="187">
        <f t="shared" si="76"/>
        <v>0.24437999999999999</v>
      </c>
      <c r="O367" s="187">
        <f t="shared" si="77"/>
        <v>2.835193892273722E-2</v>
      </c>
      <c r="P367" s="188">
        <f t="shared" si="78"/>
        <v>1.522800378947863E+17</v>
      </c>
      <c r="Q367" s="187">
        <f t="shared" si="79"/>
        <v>6000</v>
      </c>
      <c r="R367" s="219">
        <f t="shared" si="80"/>
        <v>26.400000000000002</v>
      </c>
      <c r="S367" s="219">
        <f t="shared" si="81"/>
        <v>9</v>
      </c>
      <c r="T367" s="219">
        <f t="shared" si="82"/>
        <v>176.39999999999998</v>
      </c>
      <c r="U367" s="219">
        <f t="shared" si="83"/>
        <v>0.48362041669116218</v>
      </c>
      <c r="V367" s="188">
        <f t="shared" si="84"/>
        <v>6777975463983994</v>
      </c>
      <c r="W367" s="323">
        <v>1.3</v>
      </c>
      <c r="X367" s="323">
        <v>1</v>
      </c>
      <c r="Y367" s="323">
        <v>0.3</v>
      </c>
      <c r="Z367" s="323">
        <v>0.1</v>
      </c>
      <c r="AA367" s="323">
        <v>23.9</v>
      </c>
      <c r="AB367" s="323">
        <v>17.899999999999999</v>
      </c>
      <c r="AC367" s="323">
        <v>9.1</v>
      </c>
      <c r="AD367" s="323">
        <v>4.4000000000000004</v>
      </c>
      <c r="AE367" s="323">
        <v>0</v>
      </c>
      <c r="AF367" s="323">
        <v>0</v>
      </c>
      <c r="AG367" s="323">
        <v>0.1</v>
      </c>
      <c r="AH367" s="323">
        <v>1.5</v>
      </c>
      <c r="AI367" s="323">
        <v>0.3</v>
      </c>
      <c r="AJ367" s="323">
        <v>0.2</v>
      </c>
      <c r="AK367" s="323">
        <v>2.8</v>
      </c>
      <c r="AL367" s="323">
        <v>29.4</v>
      </c>
      <c r="AM367" s="323">
        <v>7.7375414551105873E-2</v>
      </c>
      <c r="AN367" s="323">
        <v>7.4210265144850296E-2</v>
      </c>
      <c r="AO367" s="323">
        <v>1.7575420682313912E-2</v>
      </c>
      <c r="AP367" s="323">
        <v>2.2388402781860346E-2</v>
      </c>
      <c r="AQ367" s="323">
        <v>0.12633541455110586</v>
      </c>
      <c r="AR367" s="323">
        <v>0.1231702651448503</v>
      </c>
      <c r="AS367" s="323">
        <v>7.2160420682313917E-2</v>
      </c>
      <c r="AT367" s="323">
        <v>8.0603402781860359E-2</v>
      </c>
      <c r="AU367" s="190">
        <v>488021136855345.69</v>
      </c>
      <c r="AV367" s="190">
        <v>468057950609181.69</v>
      </c>
      <c r="AW367" s="190">
        <v>886811588084339.5</v>
      </c>
      <c r="AX367" s="190">
        <v>1129662577330665.8</v>
      </c>
      <c r="AY367" s="203">
        <v>5</v>
      </c>
      <c r="AZ367" s="239">
        <v>121.4</v>
      </c>
      <c r="BA367" s="203">
        <v>2006</v>
      </c>
      <c r="BB367" s="204">
        <v>41212</v>
      </c>
      <c r="BC367" s="203" t="s">
        <v>716</v>
      </c>
    </row>
    <row r="368" spans="1:55" x14ac:dyDescent="0.2">
      <c r="A368" s="184" t="s">
        <v>1680</v>
      </c>
      <c r="B368" s="184" t="s">
        <v>1679</v>
      </c>
      <c r="C368" s="184" t="s">
        <v>1052</v>
      </c>
      <c r="D368" s="185" t="s">
        <v>1043</v>
      </c>
      <c r="E368" s="184" t="s">
        <v>1681</v>
      </c>
      <c r="F368" s="184" t="s">
        <v>1681</v>
      </c>
      <c r="G368" s="186">
        <f>IF(ALECA_Input!$F$13="ICAO (3000ft)",'Aircraft Calc'!C$211,'Aircraft Calc'!G$211)</f>
        <v>0.7</v>
      </c>
      <c r="H368" s="186">
        <f>IF(ALECA_Input!$F$13="ICAO (3000ft)",'Aircraft Calc'!D$211,'Aircraft Calc'!H$211)</f>
        <v>2.2000000000000002</v>
      </c>
      <c r="I368" s="186">
        <f>IF(ALECA_Input!$F$13="ICAO (3000ft)",'Aircraft Calc'!E$211,'Aircraft Calc'!I$211)</f>
        <v>4</v>
      </c>
      <c r="J368" s="189">
        <v>1</v>
      </c>
      <c r="K368" s="187">
        <f t="shared" si="73"/>
        <v>258.60000000000002</v>
      </c>
      <c r="L368" s="187">
        <f t="shared" si="74"/>
        <v>4.32294</v>
      </c>
      <c r="M368" s="187">
        <f t="shared" si="75"/>
        <v>7.1999999999999998E-3</v>
      </c>
      <c r="N368" s="187">
        <f t="shared" si="76"/>
        <v>0.24437999999999999</v>
      </c>
      <c r="O368" s="187">
        <f t="shared" si="77"/>
        <v>2.835193892273722E-2</v>
      </c>
      <c r="P368" s="188">
        <f t="shared" si="78"/>
        <v>1.522800378947863E+17</v>
      </c>
      <c r="Q368" s="187">
        <f t="shared" si="79"/>
        <v>6000</v>
      </c>
      <c r="R368" s="219">
        <f t="shared" si="80"/>
        <v>26.400000000000002</v>
      </c>
      <c r="S368" s="219">
        <f t="shared" si="81"/>
        <v>9</v>
      </c>
      <c r="T368" s="219">
        <f t="shared" si="82"/>
        <v>176.39999999999998</v>
      </c>
      <c r="U368" s="219">
        <f t="shared" si="83"/>
        <v>0.48362041669116218</v>
      </c>
      <c r="V368" s="188">
        <f t="shared" si="84"/>
        <v>6777975463983994</v>
      </c>
      <c r="W368" s="323">
        <v>1.3</v>
      </c>
      <c r="X368" s="323">
        <v>1</v>
      </c>
      <c r="Y368" s="323">
        <v>0.3</v>
      </c>
      <c r="Z368" s="323">
        <v>0.1</v>
      </c>
      <c r="AA368" s="323">
        <v>23.9</v>
      </c>
      <c r="AB368" s="323">
        <v>17.899999999999999</v>
      </c>
      <c r="AC368" s="323">
        <v>9.1</v>
      </c>
      <c r="AD368" s="323">
        <v>4.4000000000000004</v>
      </c>
      <c r="AE368" s="323">
        <v>0</v>
      </c>
      <c r="AF368" s="323">
        <v>0</v>
      </c>
      <c r="AG368" s="323">
        <v>0.1</v>
      </c>
      <c r="AH368" s="323">
        <v>1.5</v>
      </c>
      <c r="AI368" s="323">
        <v>0.3</v>
      </c>
      <c r="AJ368" s="323">
        <v>0.2</v>
      </c>
      <c r="AK368" s="323">
        <v>2.8</v>
      </c>
      <c r="AL368" s="323">
        <v>29.4</v>
      </c>
      <c r="AM368" s="323">
        <v>7.7375414551105873E-2</v>
      </c>
      <c r="AN368" s="323">
        <v>7.4210265144850296E-2</v>
      </c>
      <c r="AO368" s="323">
        <v>1.7575420682313912E-2</v>
      </c>
      <c r="AP368" s="323">
        <v>2.2388402781860346E-2</v>
      </c>
      <c r="AQ368" s="323">
        <v>0.12633541455110586</v>
      </c>
      <c r="AR368" s="323">
        <v>0.1231702651448503</v>
      </c>
      <c r="AS368" s="323">
        <v>7.2160420682313917E-2</v>
      </c>
      <c r="AT368" s="323">
        <v>8.0603402781860359E-2</v>
      </c>
      <c r="AU368" s="190">
        <v>488021136855345.69</v>
      </c>
      <c r="AV368" s="190">
        <v>468057950609181.69</v>
      </c>
      <c r="AW368" s="190">
        <v>886811588084339.5</v>
      </c>
      <c r="AX368" s="190">
        <v>1129662577330665.8</v>
      </c>
      <c r="AY368" s="203">
        <v>5</v>
      </c>
      <c r="AZ368" s="239">
        <v>121.4</v>
      </c>
      <c r="BA368" s="203">
        <v>2006</v>
      </c>
      <c r="BB368" s="204">
        <v>41212</v>
      </c>
      <c r="BC368" s="203" t="s">
        <v>716</v>
      </c>
    </row>
    <row r="369" spans="1:55" x14ac:dyDescent="0.2">
      <c r="A369" s="184" t="s">
        <v>1683</v>
      </c>
      <c r="B369" s="184" t="s">
        <v>1682</v>
      </c>
      <c r="C369" s="184" t="s">
        <v>1052</v>
      </c>
      <c r="D369" s="185" t="s">
        <v>1043</v>
      </c>
      <c r="E369" s="184" t="s">
        <v>1684</v>
      </c>
      <c r="F369" s="184" t="s">
        <v>1684</v>
      </c>
      <c r="G369" s="186">
        <f>IF(ALECA_Input!$F$13="ICAO (3000ft)",'Aircraft Calc'!C$211,'Aircraft Calc'!G$211)</f>
        <v>0.7</v>
      </c>
      <c r="H369" s="186">
        <f>IF(ALECA_Input!$F$13="ICAO (3000ft)",'Aircraft Calc'!D$211,'Aircraft Calc'!H$211)</f>
        <v>2.2000000000000002</v>
      </c>
      <c r="I369" s="186">
        <f>IF(ALECA_Input!$F$13="ICAO (3000ft)",'Aircraft Calc'!E$211,'Aircraft Calc'!I$211)</f>
        <v>4</v>
      </c>
      <c r="J369" s="189">
        <v>1</v>
      </c>
      <c r="K369" s="187">
        <f t="shared" si="73"/>
        <v>258.60000000000002</v>
      </c>
      <c r="L369" s="187">
        <f t="shared" si="74"/>
        <v>4.32294</v>
      </c>
      <c r="M369" s="187">
        <f t="shared" si="75"/>
        <v>7.1999999999999998E-3</v>
      </c>
      <c r="N369" s="187">
        <f t="shared" si="76"/>
        <v>0.24437999999999999</v>
      </c>
      <c r="O369" s="187">
        <f t="shared" si="77"/>
        <v>2.835193892273722E-2</v>
      </c>
      <c r="P369" s="188">
        <f t="shared" si="78"/>
        <v>1.522800378947863E+17</v>
      </c>
      <c r="Q369" s="187">
        <f t="shared" si="79"/>
        <v>6000</v>
      </c>
      <c r="R369" s="219">
        <f t="shared" si="80"/>
        <v>26.400000000000002</v>
      </c>
      <c r="S369" s="219">
        <f t="shared" si="81"/>
        <v>9</v>
      </c>
      <c r="T369" s="219">
        <f t="shared" si="82"/>
        <v>176.39999999999998</v>
      </c>
      <c r="U369" s="219">
        <f t="shared" si="83"/>
        <v>0.48362041669116218</v>
      </c>
      <c r="V369" s="188">
        <f t="shared" si="84"/>
        <v>6777975463983994</v>
      </c>
      <c r="W369" s="323">
        <v>1.3</v>
      </c>
      <c r="X369" s="323">
        <v>1</v>
      </c>
      <c r="Y369" s="323">
        <v>0.3</v>
      </c>
      <c r="Z369" s="323">
        <v>0.1</v>
      </c>
      <c r="AA369" s="323">
        <v>23.9</v>
      </c>
      <c r="AB369" s="323">
        <v>17.899999999999999</v>
      </c>
      <c r="AC369" s="323">
        <v>9.1</v>
      </c>
      <c r="AD369" s="323">
        <v>4.4000000000000004</v>
      </c>
      <c r="AE369" s="323">
        <v>0</v>
      </c>
      <c r="AF369" s="323">
        <v>0</v>
      </c>
      <c r="AG369" s="323">
        <v>0.1</v>
      </c>
      <c r="AH369" s="323">
        <v>1.5</v>
      </c>
      <c r="AI369" s="323">
        <v>0.3</v>
      </c>
      <c r="AJ369" s="323">
        <v>0.2</v>
      </c>
      <c r="AK369" s="323">
        <v>2.8</v>
      </c>
      <c r="AL369" s="323">
        <v>29.4</v>
      </c>
      <c r="AM369" s="323">
        <v>7.7375414551105873E-2</v>
      </c>
      <c r="AN369" s="323">
        <v>7.4210265144850296E-2</v>
      </c>
      <c r="AO369" s="323">
        <v>1.7575420682313912E-2</v>
      </c>
      <c r="AP369" s="323">
        <v>2.2388402781860346E-2</v>
      </c>
      <c r="AQ369" s="323">
        <v>0.12633541455110586</v>
      </c>
      <c r="AR369" s="323">
        <v>0.1231702651448503</v>
      </c>
      <c r="AS369" s="323">
        <v>7.2160420682313917E-2</v>
      </c>
      <c r="AT369" s="323">
        <v>8.0603402781860359E-2</v>
      </c>
      <c r="AU369" s="190">
        <v>488021136855345.69</v>
      </c>
      <c r="AV369" s="190">
        <v>468057950609181.69</v>
      </c>
      <c r="AW369" s="190">
        <v>886811588084339.5</v>
      </c>
      <c r="AX369" s="190">
        <v>1129662577330665.8</v>
      </c>
      <c r="AY369" s="203">
        <v>5</v>
      </c>
      <c r="AZ369" s="239">
        <v>121.4</v>
      </c>
      <c r="BA369" s="203">
        <v>2006</v>
      </c>
      <c r="BB369" s="204">
        <v>41212</v>
      </c>
      <c r="BC369" s="203" t="s">
        <v>716</v>
      </c>
    </row>
    <row r="370" spans="1:55" x14ac:dyDescent="0.2">
      <c r="A370" s="184" t="s">
        <v>1686</v>
      </c>
      <c r="B370" s="184" t="s">
        <v>1685</v>
      </c>
      <c r="C370" s="184" t="s">
        <v>1688</v>
      </c>
      <c r="D370" s="185" t="s">
        <v>1043</v>
      </c>
      <c r="E370" s="184" t="s">
        <v>1687</v>
      </c>
      <c r="F370" s="184" t="s">
        <v>1687</v>
      </c>
      <c r="G370" s="186">
        <f>IF(ALECA_Input!$F$13="ICAO (3000ft)",'Aircraft Calc'!C$211,'Aircraft Calc'!G$211)</f>
        <v>0.7</v>
      </c>
      <c r="H370" s="186">
        <f>IF(ALECA_Input!$F$13="ICAO (3000ft)",'Aircraft Calc'!D$211,'Aircraft Calc'!H$211)</f>
        <v>2.2000000000000002</v>
      </c>
      <c r="I370" s="186">
        <f>IF(ALECA_Input!$F$13="ICAO (3000ft)",'Aircraft Calc'!E$211,'Aircraft Calc'!I$211)</f>
        <v>4</v>
      </c>
      <c r="J370" s="189">
        <v>1</v>
      </c>
      <c r="K370" s="187">
        <f t="shared" si="73"/>
        <v>567.702</v>
      </c>
      <c r="L370" s="187">
        <f t="shared" si="74"/>
        <v>15.804502380000001</v>
      </c>
      <c r="M370" s="187">
        <f t="shared" si="75"/>
        <v>2.3856660000000002E-2</v>
      </c>
      <c r="N370" s="187">
        <f t="shared" si="76"/>
        <v>0.25466346000000001</v>
      </c>
      <c r="O370" s="187">
        <f t="shared" si="77"/>
        <v>4.4904824970406827E-2</v>
      </c>
      <c r="P370" s="188">
        <f t="shared" si="78"/>
        <v>2.4035997051089696E+17</v>
      </c>
      <c r="Q370" s="187">
        <f t="shared" si="79"/>
        <v>14040.000000000002</v>
      </c>
      <c r="R370" s="219">
        <f t="shared" si="80"/>
        <v>73.569600000000008</v>
      </c>
      <c r="S370" s="219">
        <f t="shared" si="81"/>
        <v>56.721600000000002</v>
      </c>
      <c r="T370" s="219">
        <f t="shared" si="82"/>
        <v>471.46320000000003</v>
      </c>
      <c r="U370" s="219">
        <f t="shared" si="83"/>
        <v>1.6560275403575118</v>
      </c>
      <c r="V370" s="188">
        <f t="shared" si="84"/>
        <v>3.1215871860153876E+16</v>
      </c>
      <c r="W370" s="323">
        <v>2.637</v>
      </c>
      <c r="X370" s="323">
        <v>2.169</v>
      </c>
      <c r="Y370" s="323">
        <v>0.71099999999999997</v>
      </c>
      <c r="Z370" s="323">
        <v>0.23400000000000001</v>
      </c>
      <c r="AA370" s="323">
        <v>41.73</v>
      </c>
      <c r="AB370" s="323">
        <v>31.37</v>
      </c>
      <c r="AC370" s="323">
        <v>12.9</v>
      </c>
      <c r="AD370" s="323">
        <v>5.24</v>
      </c>
      <c r="AE370" s="323">
        <v>0.03</v>
      </c>
      <c r="AF370" s="323">
        <v>0.03</v>
      </c>
      <c r="AG370" s="323">
        <v>7.0000000000000007E-2</v>
      </c>
      <c r="AH370" s="323">
        <v>4.04</v>
      </c>
      <c r="AI370" s="323">
        <v>0.11</v>
      </c>
      <c r="AJ370" s="323">
        <v>0.09</v>
      </c>
      <c r="AK370" s="323">
        <v>1.27</v>
      </c>
      <c r="AL370" s="323">
        <v>33.58</v>
      </c>
      <c r="AM370" s="323">
        <v>2.9414772867020073E-2</v>
      </c>
      <c r="AN370" s="323">
        <v>3.1092049875346601E-2</v>
      </c>
      <c r="AO370" s="323">
        <v>1.9008732656951167E-2</v>
      </c>
      <c r="AP370" s="323">
        <v>4.4063879512643289E-2</v>
      </c>
      <c r="AQ370" s="323">
        <v>8.1824772867020071E-2</v>
      </c>
      <c r="AR370" s="323">
        <v>8.2332049875346605E-2</v>
      </c>
      <c r="AS370" s="323">
        <v>7.1906232656951161E-2</v>
      </c>
      <c r="AT370" s="323">
        <v>0.11795067951264328</v>
      </c>
      <c r="AU370" s="190">
        <v>185524445693580.38</v>
      </c>
      <c r="AV370" s="190">
        <v>196103343876855.38</v>
      </c>
      <c r="AW370" s="190">
        <v>959132910653161.38</v>
      </c>
      <c r="AX370" s="190">
        <v>2223352696592156.3</v>
      </c>
      <c r="AY370" s="203">
        <v>17.7</v>
      </c>
      <c r="AZ370" s="239">
        <v>332.39</v>
      </c>
      <c r="BA370" s="203">
        <v>2005</v>
      </c>
      <c r="BB370" s="204">
        <v>39849</v>
      </c>
      <c r="BC370" s="203" t="s">
        <v>716</v>
      </c>
    </row>
    <row r="371" spans="1:55" x14ac:dyDescent="0.2">
      <c r="A371" s="184" t="s">
        <v>1690</v>
      </c>
      <c r="B371" s="184" t="s">
        <v>1689</v>
      </c>
      <c r="C371" s="184" t="s">
        <v>769</v>
      </c>
      <c r="D371" s="185" t="s">
        <v>1043</v>
      </c>
      <c r="E371" s="184" t="s">
        <v>1397</v>
      </c>
      <c r="F371" s="184" t="s">
        <v>1691</v>
      </c>
      <c r="G371" s="186">
        <f>IF(ALECA_Input!$F$13="ICAO (3000ft)",'Aircraft Calc'!C$211,'Aircraft Calc'!G$211)</f>
        <v>0.7</v>
      </c>
      <c r="H371" s="186">
        <f>IF(ALECA_Input!$F$13="ICAO (3000ft)",'Aircraft Calc'!D$211,'Aircraft Calc'!H$211)</f>
        <v>2.2000000000000002</v>
      </c>
      <c r="I371" s="186">
        <f>IF(ALECA_Input!$F$13="ICAO (3000ft)",'Aircraft Calc'!E$211,'Aircraft Calc'!I$211)</f>
        <v>4</v>
      </c>
      <c r="J371" s="189">
        <v>1</v>
      </c>
      <c r="K371" s="187">
        <f t="shared" si="73"/>
        <v>661.45799999999997</v>
      </c>
      <c r="L371" s="187">
        <f t="shared" si="74"/>
        <v>21.088424879999998</v>
      </c>
      <c r="M371" s="187">
        <f t="shared" si="75"/>
        <v>2.6947559999999999E-2</v>
      </c>
      <c r="N371" s="187">
        <f t="shared" si="76"/>
        <v>0.56071296000000004</v>
      </c>
      <c r="O371" s="187">
        <f t="shared" si="77"/>
        <v>3.8208776080339006E-2</v>
      </c>
      <c r="P371" s="188">
        <f t="shared" si="78"/>
        <v>1.0183668586237978E+17</v>
      </c>
      <c r="Q371" s="187">
        <f t="shared" si="79"/>
        <v>16260.000000000002</v>
      </c>
      <c r="R371" s="219">
        <f t="shared" si="80"/>
        <v>86.665800000000004</v>
      </c>
      <c r="S371" s="219">
        <f t="shared" si="81"/>
        <v>45.527999999999999</v>
      </c>
      <c r="T371" s="219">
        <f t="shared" si="82"/>
        <v>509.58840000000004</v>
      </c>
      <c r="U371" s="219">
        <f t="shared" si="83"/>
        <v>1.2437925838952271</v>
      </c>
      <c r="V371" s="188">
        <f t="shared" si="84"/>
        <v>8416068102213697</v>
      </c>
      <c r="W371" s="323">
        <v>3.1309999999999998</v>
      </c>
      <c r="X371" s="323">
        <v>2.5529999999999999</v>
      </c>
      <c r="Y371" s="323">
        <v>0.80400000000000005</v>
      </c>
      <c r="Z371" s="323">
        <v>0.27100000000000002</v>
      </c>
      <c r="AA371" s="323">
        <v>45.54</v>
      </c>
      <c r="AB371" s="323">
        <v>36.35</v>
      </c>
      <c r="AC371" s="323">
        <v>14.77</v>
      </c>
      <c r="AD371" s="323">
        <v>5.33</v>
      </c>
      <c r="AE371" s="323">
        <v>0.04</v>
      </c>
      <c r="AF371" s="323">
        <v>0.03</v>
      </c>
      <c r="AG371" s="323">
        <v>0.06</v>
      </c>
      <c r="AH371" s="323">
        <v>2.8</v>
      </c>
      <c r="AI371" s="323">
        <v>0.3</v>
      </c>
      <c r="AJ371" s="323">
        <v>0.31</v>
      </c>
      <c r="AK371" s="323">
        <v>2.16</v>
      </c>
      <c r="AL371" s="323">
        <v>31.34</v>
      </c>
      <c r="AM371" s="323">
        <v>7.0998690211636429E-3</v>
      </c>
      <c r="AN371" s="323">
        <v>3.2695061436164791E-3</v>
      </c>
      <c r="AO371" s="323">
        <v>9.1409351779838804E-3</v>
      </c>
      <c r="AP371" s="323">
        <v>1.0258008849644938E-2</v>
      </c>
      <c r="AQ371" s="323">
        <v>6.0659869021163645E-2</v>
      </c>
      <c r="AR371" s="323">
        <v>5.4509506143616486E-2</v>
      </c>
      <c r="AS371" s="323">
        <v>6.147593517798388E-2</v>
      </c>
      <c r="AT371" s="323">
        <v>7.6494008849644954E-2</v>
      </c>
      <c r="AU371" s="190">
        <v>44780194992607.117</v>
      </c>
      <c r="AV371" s="190">
        <v>20621383606408.691</v>
      </c>
      <c r="AW371" s="190">
        <v>461228632206864.88</v>
      </c>
      <c r="AX371" s="190">
        <v>517593364219784.5</v>
      </c>
      <c r="AY371" s="203">
        <v>23.3</v>
      </c>
      <c r="AZ371" s="239">
        <v>397.21</v>
      </c>
      <c r="BA371" s="203">
        <v>2007</v>
      </c>
      <c r="BB371" s="204">
        <v>39849</v>
      </c>
      <c r="BC371" s="203" t="s">
        <v>1626</v>
      </c>
    </row>
    <row r="372" spans="1:55" x14ac:dyDescent="0.2">
      <c r="A372" s="184" t="s">
        <v>1693</v>
      </c>
      <c r="B372" s="184" t="s">
        <v>1692</v>
      </c>
      <c r="C372" s="184" t="s">
        <v>769</v>
      </c>
      <c r="D372" s="185" t="s">
        <v>1043</v>
      </c>
      <c r="E372" s="184" t="s">
        <v>1588</v>
      </c>
      <c r="F372" s="184" t="s">
        <v>1694</v>
      </c>
      <c r="G372" s="186">
        <f>IF(ALECA_Input!$F$13="ICAO (3000ft)",'Aircraft Calc'!C$211,'Aircraft Calc'!G$211)</f>
        <v>0.7</v>
      </c>
      <c r="H372" s="186">
        <f>IF(ALECA_Input!$F$13="ICAO (3000ft)",'Aircraft Calc'!D$211,'Aircraft Calc'!H$211)</f>
        <v>2.2000000000000002</v>
      </c>
      <c r="I372" s="186">
        <f>IF(ALECA_Input!$F$13="ICAO (3000ft)",'Aircraft Calc'!E$211,'Aircraft Calc'!I$211)</f>
        <v>4</v>
      </c>
      <c r="J372" s="189">
        <v>1</v>
      </c>
      <c r="K372" s="187">
        <f t="shared" si="73"/>
        <v>707.46</v>
      </c>
      <c r="L372" s="187">
        <f t="shared" si="74"/>
        <v>24.248074200000001</v>
      </c>
      <c r="M372" s="187">
        <f t="shared" si="75"/>
        <v>2.8777799999999999E-2</v>
      </c>
      <c r="N372" s="187">
        <f t="shared" si="76"/>
        <v>0.53892660000000003</v>
      </c>
      <c r="O372" s="187">
        <f t="shared" si="77"/>
        <v>4.120361490379635E-2</v>
      </c>
      <c r="P372" s="188">
        <f t="shared" si="78"/>
        <v>8.8754820149238832E+16</v>
      </c>
      <c r="Q372" s="187">
        <f t="shared" si="79"/>
        <v>16800</v>
      </c>
      <c r="R372" s="219">
        <f t="shared" si="80"/>
        <v>92.064000000000007</v>
      </c>
      <c r="S372" s="219">
        <f t="shared" si="81"/>
        <v>43.512</v>
      </c>
      <c r="T372" s="219">
        <f t="shared" si="82"/>
        <v>502.15200000000004</v>
      </c>
      <c r="U372" s="219">
        <f t="shared" si="83"/>
        <v>1.2289917558106418</v>
      </c>
      <c r="V372" s="188">
        <f t="shared" si="84"/>
        <v>6962866794900008</v>
      </c>
      <c r="W372" s="323">
        <v>3.38</v>
      </c>
      <c r="X372" s="323">
        <v>2.7349999999999999</v>
      </c>
      <c r="Y372" s="323">
        <v>0.85199999999999998</v>
      </c>
      <c r="Z372" s="323">
        <v>0.28000000000000003</v>
      </c>
      <c r="AA372" s="323">
        <v>49.21</v>
      </c>
      <c r="AB372" s="323">
        <v>39.07</v>
      </c>
      <c r="AC372" s="323">
        <v>15.44</v>
      </c>
      <c r="AD372" s="323">
        <v>5.48</v>
      </c>
      <c r="AE372" s="323">
        <v>0.04</v>
      </c>
      <c r="AF372" s="323">
        <v>0.03</v>
      </c>
      <c r="AG372" s="323">
        <v>0.06</v>
      </c>
      <c r="AH372" s="323">
        <v>2.59</v>
      </c>
      <c r="AI372" s="323">
        <v>0.3</v>
      </c>
      <c r="AJ372" s="323">
        <v>0.31</v>
      </c>
      <c r="AK372" s="323">
        <v>1.88</v>
      </c>
      <c r="AL372" s="323">
        <v>29.89</v>
      </c>
      <c r="AM372" s="323">
        <v>1.2286159932848659E-2</v>
      </c>
      <c r="AN372" s="323">
        <v>3.5296324229308193E-3</v>
      </c>
      <c r="AO372" s="323">
        <v>6.7571427151930279E-3</v>
      </c>
      <c r="AP372" s="323">
        <v>8.2139711792048684E-3</v>
      </c>
      <c r="AQ372" s="323">
        <v>6.5846159932848661E-2</v>
      </c>
      <c r="AR372" s="323">
        <v>5.4769632422930828E-2</v>
      </c>
      <c r="AS372" s="323">
        <v>5.9092142715193023E-2</v>
      </c>
      <c r="AT372" s="323">
        <v>7.3154271179204866E-2</v>
      </c>
      <c r="AU372" s="190">
        <v>77491096788310.578</v>
      </c>
      <c r="AV372" s="190">
        <v>22262048451869.227</v>
      </c>
      <c r="AW372" s="190">
        <v>340948451276782.25</v>
      </c>
      <c r="AX372" s="190">
        <v>414456356839286.19</v>
      </c>
      <c r="AY372" s="203">
        <v>26.6</v>
      </c>
      <c r="AZ372" s="239">
        <v>419.25</v>
      </c>
      <c r="BA372" s="203">
        <v>2007</v>
      </c>
      <c r="BB372" s="204">
        <v>39849</v>
      </c>
      <c r="BC372" s="203" t="s">
        <v>1626</v>
      </c>
    </row>
    <row r="373" spans="1:55" x14ac:dyDescent="0.2">
      <c r="A373" s="184" t="s">
        <v>1696</v>
      </c>
      <c r="B373" s="184" t="s">
        <v>1695</v>
      </c>
      <c r="C373" s="184" t="s">
        <v>769</v>
      </c>
      <c r="D373" s="185" t="s">
        <v>1043</v>
      </c>
      <c r="E373" s="184" t="s">
        <v>1605</v>
      </c>
      <c r="F373" s="184" t="s">
        <v>1697</v>
      </c>
      <c r="G373" s="186">
        <f>IF(ALECA_Input!$F$13="ICAO (3000ft)",'Aircraft Calc'!C$211,'Aircraft Calc'!G$211)</f>
        <v>0.7</v>
      </c>
      <c r="H373" s="186">
        <f>IF(ALECA_Input!$F$13="ICAO (3000ft)",'Aircraft Calc'!D$211,'Aircraft Calc'!H$211)</f>
        <v>2.2000000000000002</v>
      </c>
      <c r="I373" s="186">
        <f>IF(ALECA_Input!$F$13="ICAO (3000ft)",'Aircraft Calc'!E$211,'Aircraft Calc'!I$211)</f>
        <v>4</v>
      </c>
      <c r="J373" s="189">
        <v>1</v>
      </c>
      <c r="K373" s="187">
        <f t="shared" si="73"/>
        <v>731.47800000000007</v>
      </c>
      <c r="L373" s="187">
        <f t="shared" si="74"/>
        <v>26.080536540000001</v>
      </c>
      <c r="M373" s="187">
        <f t="shared" si="75"/>
        <v>2.9727E-2</v>
      </c>
      <c r="N373" s="187">
        <f t="shared" si="76"/>
        <v>0.52592592000000005</v>
      </c>
      <c r="O373" s="187">
        <f t="shared" si="77"/>
        <v>4.3717397297506129E-2</v>
      </c>
      <c r="P373" s="188">
        <f t="shared" si="78"/>
        <v>9.5576403795462912E+16</v>
      </c>
      <c r="Q373" s="187">
        <f t="shared" si="79"/>
        <v>17040</v>
      </c>
      <c r="R373" s="219">
        <f t="shared" si="80"/>
        <v>94.571999999999989</v>
      </c>
      <c r="S373" s="219">
        <f t="shared" si="81"/>
        <v>42.429600000000001</v>
      </c>
      <c r="T373" s="219">
        <f t="shared" si="82"/>
        <v>498.07919999999996</v>
      </c>
      <c r="U373" s="219">
        <f t="shared" si="83"/>
        <v>1.2186687988292484</v>
      </c>
      <c r="V373" s="188">
        <f t="shared" si="84"/>
        <v>6186076332728852</v>
      </c>
      <c r="W373" s="323">
        <v>3.5129999999999999</v>
      </c>
      <c r="X373" s="323">
        <v>2.831</v>
      </c>
      <c r="Y373" s="323">
        <v>0.876</v>
      </c>
      <c r="Z373" s="323">
        <v>0.28399999999999997</v>
      </c>
      <c r="AA373" s="323">
        <v>51.33</v>
      </c>
      <c r="AB373" s="323">
        <v>40.630000000000003</v>
      </c>
      <c r="AC373" s="323">
        <v>15.81</v>
      </c>
      <c r="AD373" s="323">
        <v>5.55</v>
      </c>
      <c r="AE373" s="323">
        <v>0.04</v>
      </c>
      <c r="AF373" s="323">
        <v>0.03</v>
      </c>
      <c r="AG373" s="323">
        <v>0.06</v>
      </c>
      <c r="AH373" s="323">
        <v>2.4900000000000002</v>
      </c>
      <c r="AI373" s="323">
        <v>0.3</v>
      </c>
      <c r="AJ373" s="323">
        <v>0.31</v>
      </c>
      <c r="AK373" s="323">
        <v>1.74</v>
      </c>
      <c r="AL373" s="323">
        <v>29.23</v>
      </c>
      <c r="AM373" s="323">
        <v>1.850687960331647E-2</v>
      </c>
      <c r="AN373" s="323">
        <v>4.2218401300078709E-3</v>
      </c>
      <c r="AO373" s="323">
        <v>6.4481598063750702E-3</v>
      </c>
      <c r="AP373" s="323">
        <v>7.1948219970216038E-3</v>
      </c>
      <c r="AQ373" s="323">
        <v>7.2066879603316467E-2</v>
      </c>
      <c r="AR373" s="323">
        <v>5.5461840130007878E-2</v>
      </c>
      <c r="AS373" s="323">
        <v>5.8783159806375072E-2</v>
      </c>
      <c r="AT373" s="323">
        <v>7.1518121997021622E-2</v>
      </c>
      <c r="AU373" s="190">
        <v>116726333242326.09</v>
      </c>
      <c r="AV373" s="190">
        <v>26627931259833.414</v>
      </c>
      <c r="AW373" s="190">
        <v>325357949688646.31</v>
      </c>
      <c r="AX373" s="190">
        <v>363032648634322.31</v>
      </c>
      <c r="AY373" s="203">
        <v>28.5</v>
      </c>
      <c r="AZ373" s="239">
        <v>430.92</v>
      </c>
      <c r="BA373" s="203">
        <v>2007</v>
      </c>
      <c r="BB373" s="204">
        <v>39849</v>
      </c>
      <c r="BC373" s="203" t="s">
        <v>1626</v>
      </c>
    </row>
    <row r="374" spans="1:55" x14ac:dyDescent="0.2">
      <c r="A374" s="184" t="s">
        <v>3470</v>
      </c>
      <c r="B374" s="184" t="s">
        <v>3470</v>
      </c>
      <c r="C374" s="184" t="s">
        <v>769</v>
      </c>
      <c r="D374" s="185" t="s">
        <v>1043</v>
      </c>
      <c r="E374" s="184" t="s">
        <v>3471</v>
      </c>
      <c r="F374" s="184" t="s">
        <v>3472</v>
      </c>
      <c r="G374" s="186">
        <f>IF(ALECA_Input!$F$13="ICAO (3000ft)",'Aircraft Calc'!C$211,'Aircraft Calc'!G$211)</f>
        <v>0.7</v>
      </c>
      <c r="H374" s="186">
        <f>IF(ALECA_Input!$F$13="ICAO (3000ft)",'Aircraft Calc'!D$211,'Aircraft Calc'!H$211)</f>
        <v>2.2000000000000002</v>
      </c>
      <c r="I374" s="186">
        <f>IF(ALECA_Input!$F$13="ICAO (3000ft)",'Aircraft Calc'!E$211,'Aircraft Calc'!I$211)</f>
        <v>4</v>
      </c>
      <c r="J374" s="186">
        <v>1</v>
      </c>
      <c r="K374" s="187">
        <f t="shared" ref="K374" si="85">(G374*W374*60+H374*X374*60+I374*Y374*60)</f>
        <v>593.14200000000005</v>
      </c>
      <c r="L374" s="187">
        <f t="shared" ref="L374" si="86">(G374*W374*60*AA374+H374*X374*60*AB374+I374*Y374*60*AC374)/1000</f>
        <v>17.148004799999999</v>
      </c>
      <c r="M374" s="187">
        <f t="shared" ref="M374" si="87">(G374*W374*60*AE374+H374*X374*60*AF374+I374*Y374*60*AG374)/1000</f>
        <v>1.765278E-2</v>
      </c>
      <c r="N374" s="187">
        <f t="shared" ref="N374" si="88">(G374*W374*60*AI374+H374*X374*60*AJ374+I374*Y374*60*AK374)/1000</f>
        <v>0.52867224000000002</v>
      </c>
      <c r="O374" s="187">
        <f t="shared" ref="O374" si="89">(G374*W374*60*AQ374+H374*X374*60*AR374+I374*Y374*60*AS374)/1000</f>
        <v>3.3909480429889678E-2</v>
      </c>
      <c r="P374" s="188">
        <f t="shared" ref="P374" si="90">(G374*W374*60*AU374+H374*X374*60*AV374+I374*Y374*60*AW374)</f>
        <v>1.1465780749317546E+17</v>
      </c>
      <c r="Q374" s="187">
        <f t="shared" ref="Q374" si="91">J374*Z374*60*1000</f>
        <v>14640</v>
      </c>
      <c r="R374" s="219">
        <f t="shared" ref="R374" si="92">J374*Z374*60*AD374</f>
        <v>64.708799999999997</v>
      </c>
      <c r="S374" s="219">
        <f t="shared" ref="S374" si="93">J374*Z374*60*AH374</f>
        <v>9.2232000000000003</v>
      </c>
      <c r="T374" s="219">
        <f t="shared" ref="T374" si="94">J374*Z374*60*AL374</f>
        <v>288.11520000000002</v>
      </c>
      <c r="U374" s="219">
        <f t="shared" ref="U374" si="95">J374*Z374*60*AT374</f>
        <v>1.5758208332172876</v>
      </c>
      <c r="V374" s="188">
        <f t="shared" ref="V374" si="96">J374*Z374*60*AX374</f>
        <v>4.5456764782702488E+16</v>
      </c>
      <c r="W374" s="323">
        <v>2.7629999999999999</v>
      </c>
      <c r="X374" s="323">
        <v>2.298</v>
      </c>
      <c r="Y374" s="323">
        <v>0.72399999999999998</v>
      </c>
      <c r="Z374" s="323">
        <v>0.24399999999999999</v>
      </c>
      <c r="AA374" s="323">
        <v>50</v>
      </c>
      <c r="AB374" s="323">
        <v>30.3</v>
      </c>
      <c r="AC374" s="323">
        <v>12.4</v>
      </c>
      <c r="AD374" s="323">
        <v>4.42</v>
      </c>
      <c r="AE374" s="323">
        <v>0.01</v>
      </c>
      <c r="AF374" s="323">
        <v>0.02</v>
      </c>
      <c r="AG374" s="323">
        <v>0.06</v>
      </c>
      <c r="AH374" s="323">
        <v>0.63</v>
      </c>
      <c r="AI374" s="323">
        <v>0.2</v>
      </c>
      <c r="AJ374" s="323">
        <v>0.24</v>
      </c>
      <c r="AK374" s="323">
        <v>2.4900000000000002</v>
      </c>
      <c r="AL374" s="323">
        <v>19.68</v>
      </c>
      <c r="AM374" s="323">
        <v>4.8713722395409232E-3</v>
      </c>
      <c r="AN374" s="323">
        <v>4.4973841038124934E-3</v>
      </c>
      <c r="AO374" s="323">
        <v>1.0121792831870639E-2</v>
      </c>
      <c r="AP374" s="323">
        <v>5.4790935055825649E-2</v>
      </c>
      <c r="AQ374" s="323">
        <v>5.4981372239540922E-2</v>
      </c>
      <c r="AR374" s="323">
        <v>5.4977384103812504E-2</v>
      </c>
      <c r="AS374" s="323">
        <v>6.2456792831870646E-2</v>
      </c>
      <c r="AT374" s="323">
        <v>0.10763803505582566</v>
      </c>
      <c r="AU374" s="190">
        <v>32043390918298.836</v>
      </c>
      <c r="AV374" s="190">
        <v>37157621967718.203</v>
      </c>
      <c r="AW374" s="190">
        <v>573596085022276.63</v>
      </c>
      <c r="AX374" s="190">
        <v>3104970272042519.5</v>
      </c>
      <c r="AY374" s="203">
        <v>18.8</v>
      </c>
      <c r="AZ374" s="239">
        <v>454</v>
      </c>
      <c r="BB374" s="204">
        <v>43437</v>
      </c>
      <c r="BC374" s="203" t="s">
        <v>3473</v>
      </c>
    </row>
    <row r="375" spans="1:55" x14ac:dyDescent="0.2">
      <c r="A375" s="184" t="s">
        <v>1699</v>
      </c>
      <c r="B375" s="184" t="s">
        <v>1698</v>
      </c>
      <c r="C375" s="184" t="s">
        <v>769</v>
      </c>
      <c r="D375" s="185" t="s">
        <v>1043</v>
      </c>
      <c r="E375" s="184" t="s">
        <v>3111</v>
      </c>
      <c r="F375" s="184" t="s">
        <v>3111</v>
      </c>
      <c r="G375" s="186">
        <f>IF(ALECA_Input!$F$13="ICAO (3000ft)",'Aircraft Calc'!C$211,'Aircraft Calc'!G$211)</f>
        <v>0.7</v>
      </c>
      <c r="H375" s="186">
        <f>IF(ALECA_Input!$F$13="ICAO (3000ft)",'Aircraft Calc'!D$211,'Aircraft Calc'!H$211)</f>
        <v>2.2000000000000002</v>
      </c>
      <c r="I375" s="186">
        <f>IF(ALECA_Input!$F$13="ICAO (3000ft)",'Aircraft Calc'!E$211,'Aircraft Calc'!I$211)</f>
        <v>4</v>
      </c>
      <c r="J375" s="189">
        <v>1</v>
      </c>
      <c r="K375" s="187">
        <f t="shared" si="73"/>
        <v>409.39200000000005</v>
      </c>
      <c r="L375" s="187">
        <f t="shared" si="74"/>
        <v>4.0747946400000004</v>
      </c>
      <c r="M375" s="187">
        <f t="shared" si="75"/>
        <v>1.571904E-2</v>
      </c>
      <c r="N375" s="187">
        <f t="shared" si="76"/>
        <v>0.87081276000000007</v>
      </c>
      <c r="O375" s="187">
        <f t="shared" si="77"/>
        <v>3.0837461546304609E-2</v>
      </c>
      <c r="P375" s="188">
        <f t="shared" si="78"/>
        <v>4.7232832334666547E+17</v>
      </c>
      <c r="Q375" s="187">
        <f t="shared" si="79"/>
        <v>11040</v>
      </c>
      <c r="R375" s="219">
        <f t="shared" si="80"/>
        <v>43.9392</v>
      </c>
      <c r="S375" s="219">
        <f t="shared" si="81"/>
        <v>14.7936</v>
      </c>
      <c r="T375" s="219">
        <f t="shared" si="82"/>
        <v>288.14400000000001</v>
      </c>
      <c r="U375" s="219">
        <f t="shared" si="83"/>
        <v>0.66910347986987928</v>
      </c>
      <c r="V375" s="188">
        <f t="shared" si="84"/>
        <v>1882496636631517.3</v>
      </c>
      <c r="W375" s="323">
        <v>1.8779999999999999</v>
      </c>
      <c r="X375" s="323">
        <v>1.5529999999999999</v>
      </c>
      <c r="Y375" s="323">
        <v>0.52300000000000002</v>
      </c>
      <c r="Z375" s="323">
        <v>0.184</v>
      </c>
      <c r="AA375" s="323">
        <v>14.96</v>
      </c>
      <c r="AB375" s="323">
        <v>9.18</v>
      </c>
      <c r="AC375" s="323">
        <v>8.07</v>
      </c>
      <c r="AD375" s="323">
        <v>3.98</v>
      </c>
      <c r="AE375" s="323">
        <v>0.02</v>
      </c>
      <c r="AF375" s="323">
        <v>0.02</v>
      </c>
      <c r="AG375" s="323">
        <v>0.08</v>
      </c>
      <c r="AH375" s="323">
        <v>1.34</v>
      </c>
      <c r="AI375" s="323">
        <v>0.36</v>
      </c>
      <c r="AJ375" s="323">
        <v>1.55</v>
      </c>
      <c r="AK375" s="323">
        <v>4.18</v>
      </c>
      <c r="AL375" s="323">
        <v>26.1</v>
      </c>
      <c r="AM375" s="323">
        <v>1.3792414342428912E-3</v>
      </c>
      <c r="AN375" s="323">
        <v>1.5591878606120145E-3</v>
      </c>
      <c r="AO375" s="323">
        <v>7.4150447612039885E-2</v>
      </c>
      <c r="AP375" s="323">
        <v>3.3793992635760151E-3</v>
      </c>
      <c r="AQ375" s="323">
        <v>5.2639241434242888E-2</v>
      </c>
      <c r="AR375" s="323">
        <v>5.203918786061202E-2</v>
      </c>
      <c r="AS375" s="323">
        <v>0.12761044761203988</v>
      </c>
      <c r="AT375" s="323">
        <v>6.0607199263576023E-2</v>
      </c>
      <c r="AU375" s="190">
        <v>8699132361903.3594</v>
      </c>
      <c r="AV375" s="190">
        <v>9834087955733.6621</v>
      </c>
      <c r="AW375" s="190">
        <v>3741445362395749</v>
      </c>
      <c r="AX375" s="190">
        <v>170515999694883.81</v>
      </c>
      <c r="AY375" s="203">
        <v>5.2</v>
      </c>
      <c r="AZ375" s="239">
        <v>255.3</v>
      </c>
      <c r="BA375" s="203">
        <v>2009</v>
      </c>
      <c r="BB375" s="204">
        <v>41208</v>
      </c>
      <c r="BC375" s="203" t="s">
        <v>716</v>
      </c>
    </row>
    <row r="376" spans="1:55" x14ac:dyDescent="0.2">
      <c r="A376" s="184" t="s">
        <v>1701</v>
      </c>
      <c r="B376" s="184" t="s">
        <v>1700</v>
      </c>
      <c r="C376" s="184" t="s">
        <v>769</v>
      </c>
      <c r="D376" s="185" t="s">
        <v>1043</v>
      </c>
      <c r="E376" s="184" t="s">
        <v>3112</v>
      </c>
      <c r="F376" s="184" t="s">
        <v>3112</v>
      </c>
      <c r="G376" s="186">
        <f>IF(ALECA_Input!$F$13="ICAO (3000ft)",'Aircraft Calc'!C$211,'Aircraft Calc'!G$211)</f>
        <v>0.7</v>
      </c>
      <c r="H376" s="186">
        <f>IF(ALECA_Input!$F$13="ICAO (3000ft)",'Aircraft Calc'!D$211,'Aircraft Calc'!H$211)</f>
        <v>2.2000000000000002</v>
      </c>
      <c r="I376" s="186">
        <f>IF(ALECA_Input!$F$13="ICAO (3000ft)",'Aircraft Calc'!E$211,'Aircraft Calc'!I$211)</f>
        <v>4</v>
      </c>
      <c r="J376" s="189">
        <v>1</v>
      </c>
      <c r="K376" s="187">
        <f t="shared" si="73"/>
        <v>437.80200000000002</v>
      </c>
      <c r="L376" s="187">
        <f t="shared" si="74"/>
        <v>5.0728343999999996</v>
      </c>
      <c r="M376" s="187">
        <f t="shared" si="75"/>
        <v>1.5404040000000003E-2</v>
      </c>
      <c r="N376" s="187">
        <f t="shared" si="76"/>
        <v>0.70326018000000001</v>
      </c>
      <c r="O376" s="187">
        <f t="shared" si="77"/>
        <v>3.2806908563238264E-2</v>
      </c>
      <c r="P376" s="188">
        <f t="shared" si="78"/>
        <v>5.0036417646029498E+17</v>
      </c>
      <c r="Q376" s="187">
        <f t="shared" si="79"/>
        <v>11400</v>
      </c>
      <c r="R376" s="219">
        <f t="shared" si="80"/>
        <v>46.512</v>
      </c>
      <c r="S376" s="219">
        <f t="shared" si="81"/>
        <v>12.654000000000002</v>
      </c>
      <c r="T376" s="219">
        <f t="shared" si="82"/>
        <v>277.13400000000001</v>
      </c>
      <c r="U376" s="219">
        <f t="shared" si="83"/>
        <v>0.67474433160476666</v>
      </c>
      <c r="V376" s="188">
        <f t="shared" si="84"/>
        <v>1943882396521675.5</v>
      </c>
      <c r="W376" s="323">
        <v>2.0190000000000001</v>
      </c>
      <c r="X376" s="323">
        <v>1.667</v>
      </c>
      <c r="Y376" s="323">
        <v>0.55400000000000005</v>
      </c>
      <c r="Z376" s="323">
        <v>0.19</v>
      </c>
      <c r="AA376" s="323">
        <v>18.04</v>
      </c>
      <c r="AB376" s="323">
        <v>11.02</v>
      </c>
      <c r="AC376" s="323">
        <v>8.41</v>
      </c>
      <c r="AD376" s="323">
        <v>4.08</v>
      </c>
      <c r="AE376" s="323">
        <v>0.02</v>
      </c>
      <c r="AF376" s="323">
        <v>0.02</v>
      </c>
      <c r="AG376" s="323">
        <v>7.0000000000000007E-2</v>
      </c>
      <c r="AH376" s="323">
        <v>1.1100000000000001</v>
      </c>
      <c r="AI376" s="323">
        <v>0.25</v>
      </c>
      <c r="AJ376" s="323">
        <v>0.87</v>
      </c>
      <c r="AK376" s="323">
        <v>3.69</v>
      </c>
      <c r="AL376" s="323">
        <v>24.31</v>
      </c>
      <c r="AM376" s="323">
        <v>1.3792414342428912E-3</v>
      </c>
      <c r="AN376" s="323">
        <v>1.5591878606120145E-3</v>
      </c>
      <c r="AO376" s="323">
        <v>7.4150447612039885E-2</v>
      </c>
      <c r="AP376" s="323">
        <v>3.3793992635760151E-3</v>
      </c>
      <c r="AQ376" s="323">
        <v>5.2639241434242888E-2</v>
      </c>
      <c r="AR376" s="323">
        <v>5.203918786061202E-2</v>
      </c>
      <c r="AS376" s="323">
        <v>0.12704794761203991</v>
      </c>
      <c r="AT376" s="323">
        <v>5.9188099263576023E-2</v>
      </c>
      <c r="AU376" s="190">
        <v>8699132361903.3594</v>
      </c>
      <c r="AV376" s="190">
        <v>9834087955733.6621</v>
      </c>
      <c r="AW376" s="190">
        <v>3741445362395749</v>
      </c>
      <c r="AX376" s="190">
        <v>170515999694883.81</v>
      </c>
      <c r="AY376" s="203">
        <v>6.3</v>
      </c>
      <c r="AZ376" s="239">
        <v>271.3</v>
      </c>
      <c r="BA376" s="203">
        <v>2009</v>
      </c>
      <c r="BB376" s="204">
        <v>41208</v>
      </c>
      <c r="BC376" s="203" t="s">
        <v>716</v>
      </c>
    </row>
    <row r="377" spans="1:55" x14ac:dyDescent="0.2">
      <c r="A377" s="184" t="s">
        <v>668</v>
      </c>
      <c r="B377" s="184" t="s">
        <v>1702</v>
      </c>
      <c r="C377" s="184" t="s">
        <v>769</v>
      </c>
      <c r="D377" s="185" t="s">
        <v>1043</v>
      </c>
      <c r="E377" s="184" t="s">
        <v>3113</v>
      </c>
      <c r="F377" s="184" t="s">
        <v>3113</v>
      </c>
      <c r="G377" s="186">
        <f>IF(ALECA_Input!$F$13="ICAO (3000ft)",'Aircraft Calc'!C$211,'Aircraft Calc'!G$211)</f>
        <v>0.7</v>
      </c>
      <c r="H377" s="186">
        <f>IF(ALECA_Input!$F$13="ICAO (3000ft)",'Aircraft Calc'!D$211,'Aircraft Calc'!H$211)</f>
        <v>2.2000000000000002</v>
      </c>
      <c r="I377" s="186">
        <f>IF(ALECA_Input!$F$13="ICAO (3000ft)",'Aircraft Calc'!E$211,'Aircraft Calc'!I$211)</f>
        <v>4</v>
      </c>
      <c r="J377" s="189">
        <v>1</v>
      </c>
      <c r="K377" s="187">
        <f t="shared" si="73"/>
        <v>485.74200000000008</v>
      </c>
      <c r="L377" s="187">
        <f t="shared" si="74"/>
        <v>7.2590911199999999</v>
      </c>
      <c r="M377" s="187">
        <f t="shared" si="75"/>
        <v>1.5513239999999999E-2</v>
      </c>
      <c r="N377" s="187">
        <f t="shared" si="76"/>
        <v>0.54390156000000012</v>
      </c>
      <c r="O377" s="187">
        <f t="shared" si="77"/>
        <v>3.6126432099815892E-2</v>
      </c>
      <c r="P377" s="188">
        <f t="shared" si="78"/>
        <v>5.4560323156897754E+17</v>
      </c>
      <c r="Q377" s="187">
        <f t="shared" si="79"/>
        <v>11940.000000000002</v>
      </c>
      <c r="R377" s="219">
        <f t="shared" si="80"/>
        <v>50.625600000000006</v>
      </c>
      <c r="S377" s="219">
        <f t="shared" si="81"/>
        <v>9.671400000000002</v>
      </c>
      <c r="T377" s="219">
        <f t="shared" si="82"/>
        <v>258.14280000000002</v>
      </c>
      <c r="U377" s="219">
        <f t="shared" si="83"/>
        <v>0.68460496520709768</v>
      </c>
      <c r="V377" s="188">
        <f t="shared" si="84"/>
        <v>2035961036356913</v>
      </c>
      <c r="W377" s="323">
        <v>2.2650000000000001</v>
      </c>
      <c r="X377" s="323">
        <v>1.861</v>
      </c>
      <c r="Y377" s="323">
        <v>0.60399999999999998</v>
      </c>
      <c r="Z377" s="323">
        <v>0.19900000000000001</v>
      </c>
      <c r="AA377" s="323">
        <v>24.82</v>
      </c>
      <c r="AB377" s="323">
        <v>14.61</v>
      </c>
      <c r="AC377" s="323">
        <v>9.0299999999999994</v>
      </c>
      <c r="AD377" s="323">
        <v>4.24</v>
      </c>
      <c r="AE377" s="323">
        <v>0.02</v>
      </c>
      <c r="AF377" s="323">
        <v>0.02</v>
      </c>
      <c r="AG377" s="323">
        <v>0.06</v>
      </c>
      <c r="AH377" s="323">
        <v>0.81</v>
      </c>
      <c r="AI377" s="323">
        <v>0.18</v>
      </c>
      <c r="AJ377" s="323">
        <v>0.38</v>
      </c>
      <c r="AK377" s="323">
        <v>2.99</v>
      </c>
      <c r="AL377" s="323">
        <v>21.62</v>
      </c>
      <c r="AM377" s="323">
        <v>1.3792414342428912E-3</v>
      </c>
      <c r="AN377" s="323">
        <v>1.5591878606120145E-3</v>
      </c>
      <c r="AO377" s="323">
        <v>7.4150447612039885E-2</v>
      </c>
      <c r="AP377" s="323">
        <v>3.3793992635760151E-3</v>
      </c>
      <c r="AQ377" s="323">
        <v>5.2639241434242888E-2</v>
      </c>
      <c r="AR377" s="323">
        <v>5.203918786061202E-2</v>
      </c>
      <c r="AS377" s="323">
        <v>0.12648544761203989</v>
      </c>
      <c r="AT377" s="323">
        <v>5.7337099263576018E-2</v>
      </c>
      <c r="AU377" s="190">
        <v>8699132361903.3594</v>
      </c>
      <c r="AV377" s="190">
        <v>9834087955733.6621</v>
      </c>
      <c r="AW377" s="190">
        <v>3741445362395749</v>
      </c>
      <c r="AX377" s="190">
        <v>170515999694883.81</v>
      </c>
      <c r="AY377" s="203">
        <v>8.6</v>
      </c>
      <c r="AZ377" s="239">
        <v>298</v>
      </c>
      <c r="BA377" s="203">
        <v>2009</v>
      </c>
      <c r="BB377" s="204">
        <v>41208</v>
      </c>
      <c r="BC377" s="203" t="s">
        <v>716</v>
      </c>
    </row>
    <row r="378" spans="1:55" x14ac:dyDescent="0.2">
      <c r="A378" s="184" t="s">
        <v>1704</v>
      </c>
      <c r="B378" s="184" t="s">
        <v>1703</v>
      </c>
      <c r="C378" s="184" t="s">
        <v>769</v>
      </c>
      <c r="D378" s="185" t="s">
        <v>1043</v>
      </c>
      <c r="E378" s="184" t="s">
        <v>3114</v>
      </c>
      <c r="F378" s="184" t="s">
        <v>3114</v>
      </c>
      <c r="G378" s="186">
        <f>IF(ALECA_Input!$F$13="ICAO (3000ft)",'Aircraft Calc'!C$211,'Aircraft Calc'!G$211)</f>
        <v>0.7</v>
      </c>
      <c r="H378" s="186">
        <f>IF(ALECA_Input!$F$13="ICAO (3000ft)",'Aircraft Calc'!D$211,'Aircraft Calc'!H$211)</f>
        <v>2.2000000000000002</v>
      </c>
      <c r="I378" s="186">
        <f>IF(ALECA_Input!$F$13="ICAO (3000ft)",'Aircraft Calc'!E$211,'Aircraft Calc'!I$211)</f>
        <v>4</v>
      </c>
      <c r="J378" s="189">
        <v>1</v>
      </c>
      <c r="K378" s="187">
        <f t="shared" si="73"/>
        <v>505.53599999999994</v>
      </c>
      <c r="L378" s="187">
        <f t="shared" si="74"/>
        <v>8.3978241600000008</v>
      </c>
      <c r="M378" s="187">
        <f t="shared" si="75"/>
        <v>1.6110720000000002E-2</v>
      </c>
      <c r="N378" s="187">
        <f t="shared" si="76"/>
        <v>0.50773151999999988</v>
      </c>
      <c r="O378" s="187">
        <f t="shared" si="77"/>
        <v>3.7534300765235569E-2</v>
      </c>
      <c r="P378" s="188">
        <f t="shared" si="78"/>
        <v>5.646002985112521E+17</v>
      </c>
      <c r="Q378" s="187">
        <f t="shared" si="79"/>
        <v>12180.000000000002</v>
      </c>
      <c r="R378" s="219">
        <f t="shared" si="80"/>
        <v>52.374000000000002</v>
      </c>
      <c r="S378" s="219">
        <f t="shared" si="81"/>
        <v>8.7696000000000005</v>
      </c>
      <c r="T378" s="219">
        <f t="shared" si="82"/>
        <v>252.12600000000003</v>
      </c>
      <c r="U378" s="219">
        <f t="shared" si="83"/>
        <v>0.69160231503035596</v>
      </c>
      <c r="V378" s="188">
        <f t="shared" si="84"/>
        <v>2076884876283685</v>
      </c>
      <c r="W378" s="323">
        <v>2.3679999999999999</v>
      </c>
      <c r="X378" s="323">
        <v>1.94</v>
      </c>
      <c r="Y378" s="323">
        <v>0.625</v>
      </c>
      <c r="Z378" s="323">
        <v>0.20300000000000001</v>
      </c>
      <c r="AA378" s="323">
        <v>28.56</v>
      </c>
      <c r="AB378" s="323">
        <v>16.260000000000002</v>
      </c>
      <c r="AC378" s="323">
        <v>9.2899999999999991</v>
      </c>
      <c r="AD378" s="323">
        <v>4.3</v>
      </c>
      <c r="AE378" s="323">
        <v>0.02</v>
      </c>
      <c r="AF378" s="323">
        <v>0.02</v>
      </c>
      <c r="AG378" s="323">
        <v>0.06</v>
      </c>
      <c r="AH378" s="323">
        <v>0.72</v>
      </c>
      <c r="AI378" s="323">
        <v>0.17</v>
      </c>
      <c r="AJ378" s="323">
        <v>0.3</v>
      </c>
      <c r="AK378" s="323">
        <v>2.76</v>
      </c>
      <c r="AL378" s="323">
        <v>20.7</v>
      </c>
      <c r="AM378" s="323">
        <v>1.3792414342428912E-3</v>
      </c>
      <c r="AN378" s="323">
        <v>1.5591878606120145E-3</v>
      </c>
      <c r="AO378" s="323">
        <v>7.4150447612039885E-2</v>
      </c>
      <c r="AP378" s="323">
        <v>3.3793992635760151E-3</v>
      </c>
      <c r="AQ378" s="323">
        <v>5.2639241434242888E-2</v>
      </c>
      <c r="AR378" s="323">
        <v>5.203918786061202E-2</v>
      </c>
      <c r="AS378" s="323">
        <v>0.12648544761203989</v>
      </c>
      <c r="AT378" s="323">
        <v>5.6781799263576016E-2</v>
      </c>
      <c r="AU378" s="190">
        <v>8699132361903.3594</v>
      </c>
      <c r="AV378" s="190">
        <v>9834087955733.6621</v>
      </c>
      <c r="AW378" s="190">
        <v>3741445362395749</v>
      </c>
      <c r="AX378" s="190">
        <v>170515999694883.81</v>
      </c>
      <c r="AY378" s="203">
        <v>9.8000000000000007</v>
      </c>
      <c r="AZ378" s="239">
        <v>308.7</v>
      </c>
      <c r="BA378" s="203">
        <v>2009</v>
      </c>
      <c r="BB378" s="204">
        <v>41208</v>
      </c>
      <c r="BC378" s="203" t="s">
        <v>716</v>
      </c>
    </row>
    <row r="379" spans="1:55" x14ac:dyDescent="0.2">
      <c r="A379" s="184" t="s">
        <v>1706</v>
      </c>
      <c r="B379" s="184" t="s">
        <v>1705</v>
      </c>
      <c r="C379" s="184" t="s">
        <v>769</v>
      </c>
      <c r="D379" s="185" t="s">
        <v>1043</v>
      </c>
      <c r="E379" s="184" t="s">
        <v>3115</v>
      </c>
      <c r="F379" s="184" t="s">
        <v>3115</v>
      </c>
      <c r="G379" s="186">
        <f>IF(ALECA_Input!$F$13="ICAO (3000ft)",'Aircraft Calc'!C$211,'Aircraft Calc'!G$211)</f>
        <v>0.7</v>
      </c>
      <c r="H379" s="186">
        <f>IF(ALECA_Input!$F$13="ICAO (3000ft)",'Aircraft Calc'!D$211,'Aircraft Calc'!H$211)</f>
        <v>2.2000000000000002</v>
      </c>
      <c r="I379" s="186">
        <f>IF(ALECA_Input!$F$13="ICAO (3000ft)",'Aircraft Calc'!E$211,'Aircraft Calc'!I$211)</f>
        <v>4</v>
      </c>
      <c r="J379" s="189">
        <v>1</v>
      </c>
      <c r="K379" s="187">
        <f t="shared" si="73"/>
        <v>529.63200000000006</v>
      </c>
      <c r="L379" s="187">
        <f t="shared" si="74"/>
        <v>10.038973200000003</v>
      </c>
      <c r="M379" s="187">
        <f t="shared" si="75"/>
        <v>1.6832639999999999E-2</v>
      </c>
      <c r="N379" s="187">
        <f t="shared" si="76"/>
        <v>0.47077932000000011</v>
      </c>
      <c r="O379" s="187">
        <f t="shared" si="77"/>
        <v>3.9238090077945105E-2</v>
      </c>
      <c r="P379" s="188">
        <f t="shared" si="78"/>
        <v>5.8722092215627098E+17</v>
      </c>
      <c r="Q379" s="187">
        <f t="shared" si="79"/>
        <v>12479.999999999998</v>
      </c>
      <c r="R379" s="219">
        <f t="shared" si="80"/>
        <v>54.537599999999998</v>
      </c>
      <c r="S379" s="219">
        <f t="shared" si="81"/>
        <v>7.8623999999999992</v>
      </c>
      <c r="T379" s="219">
        <f t="shared" si="82"/>
        <v>245.60639999999998</v>
      </c>
      <c r="U379" s="219">
        <f t="shared" si="83"/>
        <v>0.7017067108094287</v>
      </c>
      <c r="V379" s="188">
        <f t="shared" si="84"/>
        <v>2128039676192149.8</v>
      </c>
      <c r="W379" s="323">
        <v>2.4940000000000002</v>
      </c>
      <c r="X379" s="323">
        <v>2.0369999999999999</v>
      </c>
      <c r="Y379" s="323">
        <v>0.65</v>
      </c>
      <c r="Z379" s="323">
        <v>0.20799999999999999</v>
      </c>
      <c r="AA379" s="323">
        <v>34.06</v>
      </c>
      <c r="AB379" s="323">
        <v>18.48</v>
      </c>
      <c r="AC379" s="323">
        <v>9.6300000000000008</v>
      </c>
      <c r="AD379" s="323">
        <v>4.37</v>
      </c>
      <c r="AE379" s="323">
        <v>0.02</v>
      </c>
      <c r="AF379" s="323">
        <v>0.02</v>
      </c>
      <c r="AG379" s="323">
        <v>0.06</v>
      </c>
      <c r="AH379" s="323">
        <v>0.63</v>
      </c>
      <c r="AI379" s="323">
        <v>0.17</v>
      </c>
      <c r="AJ379" s="323">
        <v>0.24</v>
      </c>
      <c r="AK379" s="323">
        <v>2.4900000000000002</v>
      </c>
      <c r="AL379" s="323">
        <v>19.68</v>
      </c>
      <c r="AM379" s="323">
        <v>1.3792414342428912E-3</v>
      </c>
      <c r="AN379" s="323">
        <v>1.5591878606120145E-3</v>
      </c>
      <c r="AO379" s="323">
        <v>7.4150447612039885E-2</v>
      </c>
      <c r="AP379" s="323">
        <v>3.3793992635760151E-3</v>
      </c>
      <c r="AQ379" s="323">
        <v>5.2639241434242888E-2</v>
      </c>
      <c r="AR379" s="323">
        <v>5.203918786061202E-2</v>
      </c>
      <c r="AS379" s="323">
        <v>0.12648544761203989</v>
      </c>
      <c r="AT379" s="323">
        <v>5.6226499263576021E-2</v>
      </c>
      <c r="AU379" s="190">
        <v>8699132361903.3594</v>
      </c>
      <c r="AV379" s="190">
        <v>9834087955733.6621</v>
      </c>
      <c r="AW379" s="190">
        <v>3741445362395749</v>
      </c>
      <c r="AX379" s="190">
        <v>170515999694883.81</v>
      </c>
      <c r="AY379" s="203">
        <v>11.5</v>
      </c>
      <c r="AZ379" s="239">
        <v>321.60000000000002</v>
      </c>
      <c r="BA379" s="203">
        <v>2009</v>
      </c>
      <c r="BB379" s="204">
        <v>41208</v>
      </c>
      <c r="BC379" s="203" t="s">
        <v>716</v>
      </c>
    </row>
    <row r="380" spans="1:55" x14ac:dyDescent="0.2">
      <c r="A380" s="184" t="s">
        <v>1708</v>
      </c>
      <c r="B380" s="184" t="s">
        <v>1707</v>
      </c>
      <c r="C380" s="184" t="s">
        <v>769</v>
      </c>
      <c r="D380" s="185" t="s">
        <v>1043</v>
      </c>
      <c r="E380" s="184" t="s">
        <v>3116</v>
      </c>
      <c r="F380" s="184" t="s">
        <v>3116</v>
      </c>
      <c r="G380" s="186">
        <f>IF(ALECA_Input!$F$13="ICAO (3000ft)",'Aircraft Calc'!C$211,'Aircraft Calc'!G$211)</f>
        <v>0.7</v>
      </c>
      <c r="H380" s="186">
        <f>IF(ALECA_Input!$F$13="ICAO (3000ft)",'Aircraft Calc'!D$211,'Aircraft Calc'!H$211)</f>
        <v>2.2000000000000002</v>
      </c>
      <c r="I380" s="186">
        <f>IF(ALECA_Input!$F$13="ICAO (3000ft)",'Aircraft Calc'!E$211,'Aircraft Calc'!I$211)</f>
        <v>4</v>
      </c>
      <c r="J380" s="189">
        <v>1</v>
      </c>
      <c r="K380" s="187">
        <f t="shared" si="73"/>
        <v>536.76599999999996</v>
      </c>
      <c r="L380" s="187">
        <f t="shared" si="74"/>
        <v>9.5881065599999999</v>
      </c>
      <c r="M380" s="187">
        <f t="shared" si="75"/>
        <v>1.7464919999999998E-2</v>
      </c>
      <c r="N380" s="187">
        <f t="shared" si="76"/>
        <v>0.51751086000000002</v>
      </c>
      <c r="O380" s="187">
        <f t="shared" si="77"/>
        <v>4.0519476166746199E-2</v>
      </c>
      <c r="P380" s="188">
        <f t="shared" si="78"/>
        <v>6.3296805026869542E+17</v>
      </c>
      <c r="Q380" s="187">
        <f t="shared" si="79"/>
        <v>12959.999999999998</v>
      </c>
      <c r="R380" s="219">
        <f t="shared" si="80"/>
        <v>57.41279999999999</v>
      </c>
      <c r="S380" s="219">
        <f t="shared" si="81"/>
        <v>7.3871999999999991</v>
      </c>
      <c r="T380" s="219">
        <f t="shared" si="82"/>
        <v>245.59199999999998</v>
      </c>
      <c r="U380" s="219">
        <f t="shared" si="83"/>
        <v>0.72389763845594524</v>
      </c>
      <c r="V380" s="188">
        <f t="shared" si="84"/>
        <v>2209887356045694</v>
      </c>
      <c r="W380" s="323">
        <v>2.4510000000000001</v>
      </c>
      <c r="X380" s="323">
        <v>2.012</v>
      </c>
      <c r="Y380" s="323">
        <v>0.70099999999999996</v>
      </c>
      <c r="Z380" s="323">
        <v>0.216</v>
      </c>
      <c r="AA380" s="323">
        <v>31.2</v>
      </c>
      <c r="AB380" s="323">
        <v>17.940000000000001</v>
      </c>
      <c r="AC380" s="323">
        <v>9.58</v>
      </c>
      <c r="AD380" s="323">
        <v>4.43</v>
      </c>
      <c r="AE380" s="323">
        <v>0.02</v>
      </c>
      <c r="AF380" s="323">
        <v>0.02</v>
      </c>
      <c r="AG380" s="323">
        <v>0.06</v>
      </c>
      <c r="AH380" s="323">
        <v>0.56999999999999995</v>
      </c>
      <c r="AI380" s="323">
        <v>0.17</v>
      </c>
      <c r="AJ380" s="323">
        <v>0.28000000000000003</v>
      </c>
      <c r="AK380" s="323">
        <v>2.5299999999999998</v>
      </c>
      <c r="AL380" s="323">
        <v>18.95</v>
      </c>
      <c r="AM380" s="323">
        <v>1.3792414342428912E-3</v>
      </c>
      <c r="AN380" s="323">
        <v>1.5591878606120145E-3</v>
      </c>
      <c r="AO380" s="323">
        <v>7.4150447612039885E-2</v>
      </c>
      <c r="AP380" s="323">
        <v>3.3793992635760151E-3</v>
      </c>
      <c r="AQ380" s="323">
        <v>5.2639241434242888E-2</v>
      </c>
      <c r="AR380" s="323">
        <v>5.203918786061202E-2</v>
      </c>
      <c r="AS380" s="323">
        <v>0.12648544761203989</v>
      </c>
      <c r="AT380" s="323">
        <v>5.5856299263576027E-2</v>
      </c>
      <c r="AU380" s="190">
        <v>8699132361903.3594</v>
      </c>
      <c r="AV380" s="190">
        <v>9834087955733.6621</v>
      </c>
      <c r="AW380" s="190">
        <v>3741445362395749</v>
      </c>
      <c r="AX380" s="190">
        <v>170515999694883.81</v>
      </c>
      <c r="AY380" s="203">
        <v>11.1</v>
      </c>
      <c r="AZ380" s="239">
        <v>299.8</v>
      </c>
      <c r="BA380" s="203">
        <v>2009</v>
      </c>
      <c r="BB380" s="204">
        <v>41208</v>
      </c>
      <c r="BC380" s="203" t="s">
        <v>716</v>
      </c>
    </row>
    <row r="381" spans="1:55" x14ac:dyDescent="0.2">
      <c r="A381" s="184" t="s">
        <v>3303</v>
      </c>
      <c r="B381" s="184" t="s">
        <v>3304</v>
      </c>
      <c r="C381" s="184" t="s">
        <v>769</v>
      </c>
      <c r="D381" s="185" t="s">
        <v>1043</v>
      </c>
      <c r="E381" s="184" t="s">
        <v>3305</v>
      </c>
      <c r="F381" s="184" t="s">
        <v>716</v>
      </c>
      <c r="G381" s="186">
        <f>IF(ALECA_Input!$F$13="ICAO (3000ft)",'Aircraft Calc'!C$211,'Aircraft Calc'!G$211)</f>
        <v>0.7</v>
      </c>
      <c r="H381" s="186">
        <f>IF(ALECA_Input!$F$13="ICAO (3000ft)",'Aircraft Calc'!D$211,'Aircraft Calc'!H$211)</f>
        <v>2.2000000000000002</v>
      </c>
      <c r="I381" s="186">
        <f>IF(ALECA_Input!$F$13="ICAO (3000ft)",'Aircraft Calc'!E$211,'Aircraft Calc'!I$211)</f>
        <v>4</v>
      </c>
      <c r="J381" s="186">
        <v>1</v>
      </c>
      <c r="K381" s="187">
        <f t="shared" ref="K381:K388" si="97">(G381*W381*60+H381*X381*60+I381*Y381*60)</f>
        <v>168.114</v>
      </c>
      <c r="L381" s="187">
        <f t="shared" ref="L381:L388" si="98">(G381*W381*60*AA381+H381*X381*60*AB381+I381*Y381*60*AC381)/1000</f>
        <v>2.2477632600000002</v>
      </c>
      <c r="M381" s="187">
        <f t="shared" ref="M381:M388" si="99">(G381*W381*60*AE381+H381*X381*60*AF381+I381*Y381*60*AG381)/1000</f>
        <v>1.5960120000000001E-2</v>
      </c>
      <c r="N381" s="187">
        <f t="shared" ref="N381:N388" si="100">(G381*W381*60*AI381+H381*X381*60*AJ381+I381*Y381*60*AK381)/1000</f>
        <v>0.25329666000000001</v>
      </c>
      <c r="O381" s="187">
        <f t="shared" ref="O381:O388" si="101">(G381*W381*60*AQ381+H381*X381*60*AR381+I381*Y381*60*AS381)/1000</f>
        <v>1.4570613448366522E-2</v>
      </c>
      <c r="P381" s="188">
        <f t="shared" ref="P381:P388" si="102">(G381*W381*60*AU381+H381*X381*60*AV381+I381*Y381*60*AW381)</f>
        <v>5.08802635895018E+16</v>
      </c>
      <c r="Q381" s="187">
        <f t="shared" ref="Q381:Q388" si="103">J381*Z381*60*1000</f>
        <v>4980</v>
      </c>
      <c r="R381" s="219">
        <f t="shared" ref="R381:R388" si="104">J381*Z381*60*AD381</f>
        <v>17.181000000000001</v>
      </c>
      <c r="S381" s="219">
        <f t="shared" ref="S381:S388" si="105">J381*Z381*60*AH381</f>
        <v>34.660800000000002</v>
      </c>
      <c r="T381" s="219">
        <f t="shared" ref="T381:T388" si="106">J381*Z381*60*AL381</f>
        <v>259.209</v>
      </c>
      <c r="U381" s="219">
        <f t="shared" ref="U381:U388" si="107">J381*Z381*60*AT381</f>
        <v>0.49178167962785613</v>
      </c>
      <c r="V381" s="188">
        <f t="shared" ref="V381:V388" si="108">J381*Z381*60*AX381</f>
        <v>1932639222564132</v>
      </c>
      <c r="W381" s="323">
        <v>0.76500000000000001</v>
      </c>
      <c r="X381" s="323">
        <v>0.63200000000000001</v>
      </c>
      <c r="Y381" s="323">
        <v>0.219</v>
      </c>
      <c r="Z381" s="323">
        <v>8.3000000000000004E-2</v>
      </c>
      <c r="AA381" s="323">
        <v>17.87</v>
      </c>
      <c r="AB381" s="323">
        <v>15.04</v>
      </c>
      <c r="AC381" s="323">
        <v>7.97</v>
      </c>
      <c r="AD381" s="323">
        <v>3.45</v>
      </c>
      <c r="AE381" s="323">
        <v>0.06</v>
      </c>
      <c r="AF381" s="323">
        <v>0.08</v>
      </c>
      <c r="AG381" s="323">
        <v>0.14000000000000001</v>
      </c>
      <c r="AH381" s="323">
        <v>6.96</v>
      </c>
      <c r="AI381" s="323">
        <v>0.49</v>
      </c>
      <c r="AJ381" s="323">
        <v>0.34</v>
      </c>
      <c r="AK381" s="323">
        <v>3.98</v>
      </c>
      <c r="AL381" s="323">
        <v>52.05</v>
      </c>
      <c r="AM381" s="323">
        <v>5.1870605407006824E-2</v>
      </c>
      <c r="AN381" s="323">
        <v>3.9655915503445827E-2</v>
      </c>
      <c r="AO381" s="323">
        <v>4.2250654809727253E-3</v>
      </c>
      <c r="AP381" s="323">
        <v>6.8481412907341584E-3</v>
      </c>
      <c r="AQ381" s="323">
        <v>0.10773060540700684</v>
      </c>
      <c r="AR381" s="323">
        <v>9.4695915503445832E-2</v>
      </c>
      <c r="AS381" s="323">
        <v>6.1060065480972738E-2</v>
      </c>
      <c r="AT381" s="323">
        <v>9.8751341290734151E-2</v>
      </c>
      <c r="AU381" s="190">
        <v>341199564413123.5</v>
      </c>
      <c r="AV381" s="190">
        <v>327639241623078.81</v>
      </c>
      <c r="AW381" s="190">
        <v>239431991852062.66</v>
      </c>
      <c r="AX381" s="190">
        <v>388080165173520.44</v>
      </c>
      <c r="AY381" s="203">
        <v>2.7</v>
      </c>
      <c r="AZ381" s="239">
        <v>76.900000000000006</v>
      </c>
      <c r="BA381" s="203">
        <v>2006</v>
      </c>
      <c r="BB381" s="204">
        <v>43403</v>
      </c>
      <c r="BC381" s="203" t="s">
        <v>716</v>
      </c>
    </row>
    <row r="382" spans="1:55" x14ac:dyDescent="0.2">
      <c r="A382" s="184" t="s">
        <v>3306</v>
      </c>
      <c r="B382" s="184" t="s">
        <v>3307</v>
      </c>
      <c r="C382" s="184" t="s">
        <v>769</v>
      </c>
      <c r="D382" s="185" t="s">
        <v>1043</v>
      </c>
      <c r="E382" s="184" t="s">
        <v>3308</v>
      </c>
      <c r="F382" s="184" t="s">
        <v>716</v>
      </c>
      <c r="G382" s="186">
        <f>IF(ALECA_Input!$F$13="ICAO (3000ft)",'Aircraft Calc'!C$211,'Aircraft Calc'!G$211)</f>
        <v>0.7</v>
      </c>
      <c r="H382" s="186">
        <f>IF(ALECA_Input!$F$13="ICAO (3000ft)",'Aircraft Calc'!D$211,'Aircraft Calc'!H$211)</f>
        <v>2.2000000000000002</v>
      </c>
      <c r="I382" s="186">
        <f>IF(ALECA_Input!$F$13="ICAO (3000ft)",'Aircraft Calc'!E$211,'Aircraft Calc'!I$211)</f>
        <v>4</v>
      </c>
      <c r="J382" s="186">
        <v>1</v>
      </c>
      <c r="K382" s="187">
        <f t="shared" si="97"/>
        <v>180.66</v>
      </c>
      <c r="L382" s="187">
        <f t="shared" si="98"/>
        <v>2.6449853999999995</v>
      </c>
      <c r="M382" s="187">
        <f t="shared" si="99"/>
        <v>1.6196040000000002E-2</v>
      </c>
      <c r="N382" s="187">
        <f t="shared" si="100"/>
        <v>0.24638280000000001</v>
      </c>
      <c r="O382" s="187">
        <f t="shared" si="101"/>
        <v>1.6827515134638069E-2</v>
      </c>
      <c r="P382" s="188">
        <f t="shared" si="102"/>
        <v>6.379834089536024E+16</v>
      </c>
      <c r="Q382" s="187">
        <f t="shared" si="103"/>
        <v>5159.9999999999991</v>
      </c>
      <c r="R382" s="219">
        <f t="shared" si="104"/>
        <v>18.472799999999999</v>
      </c>
      <c r="S382" s="219">
        <f t="shared" si="105"/>
        <v>29.257199999999994</v>
      </c>
      <c r="T382" s="219">
        <f t="shared" si="106"/>
        <v>244.01639999999995</v>
      </c>
      <c r="U382" s="219">
        <f t="shared" si="107"/>
        <v>0.46762791655753422</v>
      </c>
      <c r="V382" s="188">
        <f t="shared" si="108"/>
        <v>1953813689063911.3</v>
      </c>
      <c r="W382" s="323">
        <v>0.82599999999999996</v>
      </c>
      <c r="X382" s="323">
        <v>0.68400000000000005</v>
      </c>
      <c r="Y382" s="323">
        <v>0.23200000000000001</v>
      </c>
      <c r="Z382" s="323">
        <v>8.5999999999999993E-2</v>
      </c>
      <c r="AA382" s="323">
        <v>19.47</v>
      </c>
      <c r="AB382" s="323">
        <v>16.72</v>
      </c>
      <c r="AC382" s="323">
        <v>8.26</v>
      </c>
      <c r="AD382" s="323">
        <v>3.58</v>
      </c>
      <c r="AE382" s="323">
        <v>0.05</v>
      </c>
      <c r="AF382" s="323">
        <v>0.08</v>
      </c>
      <c r="AG382" s="323">
        <v>0.13</v>
      </c>
      <c r="AH382" s="323">
        <v>5.67</v>
      </c>
      <c r="AI382" s="323">
        <v>0.66</v>
      </c>
      <c r="AJ382" s="323">
        <v>0.36</v>
      </c>
      <c r="AK382" s="323">
        <v>3.43</v>
      </c>
      <c r="AL382" s="323">
        <v>47.29</v>
      </c>
      <c r="AM382" s="323">
        <v>6.9545705458689933E-2</v>
      </c>
      <c r="AN382" s="323">
        <v>4.6267813947841761E-2</v>
      </c>
      <c r="AO382" s="323">
        <v>4.2511403581620153E-3</v>
      </c>
      <c r="AP382" s="323">
        <v>6.6816652243283465E-3</v>
      </c>
      <c r="AQ382" s="323">
        <v>0.12425570545868993</v>
      </c>
      <c r="AR382" s="323">
        <v>0.10130781394784176</v>
      </c>
      <c r="AS382" s="323">
        <v>6.0523640358162017E-2</v>
      </c>
      <c r="AT382" s="323">
        <v>9.0625565224328353E-2</v>
      </c>
      <c r="AU382" s="190">
        <v>457464574070751.38</v>
      </c>
      <c r="AV382" s="190">
        <v>382267091327430.25</v>
      </c>
      <c r="AW382" s="190">
        <v>240909639905292.88</v>
      </c>
      <c r="AX382" s="190">
        <v>378646063772075.88</v>
      </c>
      <c r="AY382" s="203">
        <v>3.1</v>
      </c>
      <c r="AZ382" s="239">
        <v>82.1</v>
      </c>
      <c r="BA382" s="203">
        <v>2006</v>
      </c>
      <c r="BB382" s="204">
        <v>43403</v>
      </c>
      <c r="BC382" s="203" t="s">
        <v>716</v>
      </c>
    </row>
    <row r="383" spans="1:55" x14ac:dyDescent="0.2">
      <c r="A383" s="184" t="s">
        <v>3309</v>
      </c>
      <c r="B383" s="184" t="s">
        <v>3310</v>
      </c>
      <c r="C383" s="184" t="s">
        <v>769</v>
      </c>
      <c r="D383" s="185" t="s">
        <v>1043</v>
      </c>
      <c r="E383" s="184" t="s">
        <v>3311</v>
      </c>
      <c r="F383" s="184" t="s">
        <v>716</v>
      </c>
      <c r="G383" s="186">
        <f>IF(ALECA_Input!$F$13="ICAO (3000ft)",'Aircraft Calc'!C$211,'Aircraft Calc'!G$211)</f>
        <v>0.7</v>
      </c>
      <c r="H383" s="186">
        <f>IF(ALECA_Input!$F$13="ICAO (3000ft)",'Aircraft Calc'!D$211,'Aircraft Calc'!H$211)</f>
        <v>2.2000000000000002</v>
      </c>
      <c r="I383" s="186">
        <f>IF(ALECA_Input!$F$13="ICAO (3000ft)",'Aircraft Calc'!E$211,'Aircraft Calc'!I$211)</f>
        <v>4</v>
      </c>
      <c r="J383" s="186">
        <v>1</v>
      </c>
      <c r="K383" s="187">
        <f t="shared" si="97"/>
        <v>172.98000000000002</v>
      </c>
      <c r="L383" s="187">
        <f t="shared" si="98"/>
        <v>2.2880048400000006</v>
      </c>
      <c r="M383" s="187">
        <f t="shared" si="99"/>
        <v>1.7905680000000004E-2</v>
      </c>
      <c r="N383" s="187">
        <f t="shared" si="100"/>
        <v>0.35062764000000002</v>
      </c>
      <c r="O383" s="187">
        <f t="shared" si="101"/>
        <v>1.4942999143015272E-2</v>
      </c>
      <c r="P383" s="188">
        <f t="shared" si="102"/>
        <v>5.1032694242475032E+16</v>
      </c>
      <c r="Q383" s="187">
        <f t="shared" si="103"/>
        <v>5100.0000000000009</v>
      </c>
      <c r="R383" s="219">
        <f t="shared" si="104"/>
        <v>18.105</v>
      </c>
      <c r="S383" s="219">
        <f t="shared" si="105"/>
        <v>25.194000000000006</v>
      </c>
      <c r="T383" s="219">
        <f t="shared" si="106"/>
        <v>235.11000000000004</v>
      </c>
      <c r="U383" s="219">
        <f t="shared" si="107"/>
        <v>0.44488545303276278</v>
      </c>
      <c r="V383" s="188">
        <f t="shared" si="108"/>
        <v>2252182722898414</v>
      </c>
      <c r="W383" s="323">
        <v>0.79200000000000004</v>
      </c>
      <c r="X383" s="323">
        <v>0.65300000000000002</v>
      </c>
      <c r="Y383" s="323">
        <v>0.223</v>
      </c>
      <c r="Z383" s="323">
        <v>8.5000000000000006E-2</v>
      </c>
      <c r="AA383" s="323">
        <v>17.78</v>
      </c>
      <c r="AB383" s="323">
        <v>14.97</v>
      </c>
      <c r="AC383" s="323">
        <v>7.59</v>
      </c>
      <c r="AD383" s="323">
        <v>3.55</v>
      </c>
      <c r="AE383" s="323">
        <v>7.0000000000000007E-2</v>
      </c>
      <c r="AF383" s="323">
        <v>0.1</v>
      </c>
      <c r="AG383" s="323">
        <v>0.13</v>
      </c>
      <c r="AH383" s="323">
        <v>4.9400000000000004</v>
      </c>
      <c r="AI383" s="323">
        <v>0.81</v>
      </c>
      <c r="AJ383" s="323">
        <v>0.75</v>
      </c>
      <c r="AK383" s="323">
        <v>4.84</v>
      </c>
      <c r="AL383" s="323">
        <v>46.1</v>
      </c>
      <c r="AM383" s="323">
        <v>4.5391268209523633E-2</v>
      </c>
      <c r="AN383" s="323">
        <v>3.9719336080003886E-2</v>
      </c>
      <c r="AO383" s="323">
        <v>4.2250654809727253E-3</v>
      </c>
      <c r="AP383" s="323">
        <v>7.7926417711299345E-3</v>
      </c>
      <c r="AQ383" s="323">
        <v>0.10240126820952364</v>
      </c>
      <c r="AR383" s="323">
        <v>9.6279336080003886E-2</v>
      </c>
      <c r="AS383" s="323">
        <v>6.049756548097273E-2</v>
      </c>
      <c r="AT383" s="323">
        <v>8.7232441771129945E-2</v>
      </c>
      <c r="AU383" s="190">
        <v>298579143615636.94</v>
      </c>
      <c r="AV383" s="190">
        <v>328163225733469</v>
      </c>
      <c r="AW383" s="190">
        <v>239431991852062.66</v>
      </c>
      <c r="AX383" s="190">
        <v>441604455470277.25</v>
      </c>
      <c r="AY383" s="203">
        <v>2.8</v>
      </c>
      <c r="AZ383" s="239">
        <v>77.400000000000006</v>
      </c>
      <c r="BA383" s="203">
        <v>2009</v>
      </c>
      <c r="BB383" s="204">
        <v>43403</v>
      </c>
      <c r="BC383" s="203" t="s">
        <v>716</v>
      </c>
    </row>
    <row r="384" spans="1:55" x14ac:dyDescent="0.2">
      <c r="A384" s="184" t="s">
        <v>3312</v>
      </c>
      <c r="B384" s="184" t="s">
        <v>3313</v>
      </c>
      <c r="C384" s="184" t="s">
        <v>769</v>
      </c>
      <c r="D384" s="185" t="s">
        <v>1043</v>
      </c>
      <c r="E384" s="184" t="s">
        <v>3314</v>
      </c>
      <c r="F384" s="184" t="s">
        <v>716</v>
      </c>
      <c r="G384" s="186">
        <f>IF(ALECA_Input!$F$13="ICAO (3000ft)",'Aircraft Calc'!C$211,'Aircraft Calc'!G$211)</f>
        <v>0.7</v>
      </c>
      <c r="H384" s="186">
        <f>IF(ALECA_Input!$F$13="ICAO (3000ft)",'Aircraft Calc'!D$211,'Aircraft Calc'!H$211)</f>
        <v>2.2000000000000002</v>
      </c>
      <c r="I384" s="186">
        <f>IF(ALECA_Input!$F$13="ICAO (3000ft)",'Aircraft Calc'!E$211,'Aircraft Calc'!I$211)</f>
        <v>4</v>
      </c>
      <c r="J384" s="186">
        <v>1</v>
      </c>
      <c r="K384" s="187">
        <f t="shared" si="97"/>
        <v>172.98000000000002</v>
      </c>
      <c r="L384" s="187">
        <f t="shared" si="98"/>
        <v>2.2880048400000006</v>
      </c>
      <c r="M384" s="187">
        <f t="shared" si="99"/>
        <v>1.7905680000000004E-2</v>
      </c>
      <c r="N384" s="187">
        <f t="shared" si="100"/>
        <v>0.35062764000000002</v>
      </c>
      <c r="O384" s="187">
        <f t="shared" si="101"/>
        <v>1.4942999143015272E-2</v>
      </c>
      <c r="P384" s="188">
        <f t="shared" si="102"/>
        <v>5.1032694242475032E+16</v>
      </c>
      <c r="Q384" s="187">
        <f t="shared" si="103"/>
        <v>5100.0000000000009</v>
      </c>
      <c r="R384" s="219">
        <f t="shared" si="104"/>
        <v>18.105</v>
      </c>
      <c r="S384" s="219">
        <f t="shared" si="105"/>
        <v>25.194000000000006</v>
      </c>
      <c r="T384" s="219">
        <f t="shared" si="106"/>
        <v>235.11000000000004</v>
      </c>
      <c r="U384" s="219">
        <f t="shared" si="107"/>
        <v>0.44488545303276278</v>
      </c>
      <c r="V384" s="188">
        <f t="shared" si="108"/>
        <v>2252182722898414</v>
      </c>
      <c r="W384" s="323">
        <v>0.79200000000000004</v>
      </c>
      <c r="X384" s="323">
        <v>0.65300000000000002</v>
      </c>
      <c r="Y384" s="323">
        <v>0.223</v>
      </c>
      <c r="Z384" s="323">
        <v>8.5000000000000006E-2</v>
      </c>
      <c r="AA384" s="323">
        <v>17.78</v>
      </c>
      <c r="AB384" s="323">
        <v>14.97</v>
      </c>
      <c r="AC384" s="323">
        <v>7.59</v>
      </c>
      <c r="AD384" s="323">
        <v>3.55</v>
      </c>
      <c r="AE384" s="323">
        <v>7.0000000000000007E-2</v>
      </c>
      <c r="AF384" s="323">
        <v>0.1</v>
      </c>
      <c r="AG384" s="323">
        <v>0.13</v>
      </c>
      <c r="AH384" s="323">
        <v>4.9400000000000004</v>
      </c>
      <c r="AI384" s="323">
        <v>0.81</v>
      </c>
      <c r="AJ384" s="323">
        <v>0.75</v>
      </c>
      <c r="AK384" s="323">
        <v>4.84</v>
      </c>
      <c r="AL384" s="323">
        <v>46.1</v>
      </c>
      <c r="AM384" s="323">
        <v>4.5391268209523633E-2</v>
      </c>
      <c r="AN384" s="323">
        <v>3.9719336080003886E-2</v>
      </c>
      <c r="AO384" s="323">
        <v>4.2250654809727253E-3</v>
      </c>
      <c r="AP384" s="323">
        <v>7.7926417711299345E-3</v>
      </c>
      <c r="AQ384" s="323">
        <v>0.10240126820952364</v>
      </c>
      <c r="AR384" s="323">
        <v>9.6279336080003886E-2</v>
      </c>
      <c r="AS384" s="323">
        <v>6.049756548097273E-2</v>
      </c>
      <c r="AT384" s="323">
        <v>8.7232441771129945E-2</v>
      </c>
      <c r="AU384" s="190">
        <v>298579143615636.94</v>
      </c>
      <c r="AV384" s="190">
        <v>328163225733469</v>
      </c>
      <c r="AW384" s="190">
        <v>239431991852062.66</v>
      </c>
      <c r="AX384" s="190">
        <v>441604455470277.25</v>
      </c>
      <c r="AY384" s="203">
        <v>2.8</v>
      </c>
      <c r="AZ384" s="239">
        <v>77.400000000000006</v>
      </c>
      <c r="BA384" s="203">
        <v>2009</v>
      </c>
      <c r="BB384" s="204">
        <v>43403</v>
      </c>
      <c r="BC384" s="203" t="s">
        <v>3315</v>
      </c>
    </row>
    <row r="385" spans="1:55" x14ac:dyDescent="0.2">
      <c r="A385" s="184" t="s">
        <v>3316</v>
      </c>
      <c r="B385" s="184" t="s">
        <v>3317</v>
      </c>
      <c r="C385" s="184" t="s">
        <v>769</v>
      </c>
      <c r="D385" s="185" t="s">
        <v>1043</v>
      </c>
      <c r="E385" s="184" t="s">
        <v>3318</v>
      </c>
      <c r="F385" s="184" t="s">
        <v>716</v>
      </c>
      <c r="G385" s="186">
        <f>IF(ALECA_Input!$F$13="ICAO (3000ft)",'Aircraft Calc'!C$211,'Aircraft Calc'!G$211)</f>
        <v>0.7</v>
      </c>
      <c r="H385" s="186">
        <f>IF(ALECA_Input!$F$13="ICAO (3000ft)",'Aircraft Calc'!D$211,'Aircraft Calc'!H$211)</f>
        <v>2.2000000000000002</v>
      </c>
      <c r="I385" s="186">
        <f>IF(ALECA_Input!$F$13="ICAO (3000ft)",'Aircraft Calc'!E$211,'Aircraft Calc'!I$211)</f>
        <v>4</v>
      </c>
      <c r="J385" s="186">
        <v>1</v>
      </c>
      <c r="K385" s="187">
        <f t="shared" si="97"/>
        <v>188.54399999999998</v>
      </c>
      <c r="L385" s="187">
        <f t="shared" si="98"/>
        <v>2.7096712799999993</v>
      </c>
      <c r="M385" s="187">
        <f t="shared" si="99"/>
        <v>1.6080960000000002E-2</v>
      </c>
      <c r="N385" s="187">
        <f t="shared" si="100"/>
        <v>0.33598368000000001</v>
      </c>
      <c r="O385" s="187">
        <f t="shared" si="101"/>
        <v>1.7163853542682763E-2</v>
      </c>
      <c r="P385" s="188">
        <f t="shared" si="102"/>
        <v>6.379942075322472E+16</v>
      </c>
      <c r="Q385" s="187">
        <f t="shared" si="103"/>
        <v>5279.9999999999991</v>
      </c>
      <c r="R385" s="219">
        <f t="shared" si="104"/>
        <v>19.483199999999997</v>
      </c>
      <c r="S385" s="219">
        <f t="shared" si="105"/>
        <v>21.225599999999996</v>
      </c>
      <c r="T385" s="219">
        <f t="shared" si="106"/>
        <v>220.33439999999996</v>
      </c>
      <c r="U385" s="219">
        <f t="shared" si="107"/>
        <v>0.42816074353053679</v>
      </c>
      <c r="V385" s="188">
        <f t="shared" si="108"/>
        <v>2192539211194220.5</v>
      </c>
      <c r="W385" s="323">
        <v>0.87</v>
      </c>
      <c r="X385" s="323">
        <v>0.71699999999999997</v>
      </c>
      <c r="Y385" s="323">
        <v>0.23899999999999999</v>
      </c>
      <c r="Z385" s="323">
        <v>8.7999999999999995E-2</v>
      </c>
      <c r="AA385" s="323">
        <v>19.68</v>
      </c>
      <c r="AB385" s="323">
        <v>16.22</v>
      </c>
      <c r="AC385" s="323">
        <v>7.94</v>
      </c>
      <c r="AD385" s="323">
        <v>3.69</v>
      </c>
      <c r="AE385" s="323">
        <v>0.05</v>
      </c>
      <c r="AF385" s="323">
        <v>0.09</v>
      </c>
      <c r="AG385" s="323">
        <v>0.1</v>
      </c>
      <c r="AH385" s="323">
        <v>4.0199999999999996</v>
      </c>
      <c r="AI385" s="323">
        <v>0.89</v>
      </c>
      <c r="AJ385" s="323">
        <v>0.77</v>
      </c>
      <c r="AK385" s="323">
        <v>4.0199999999999996</v>
      </c>
      <c r="AL385" s="323">
        <v>41.73</v>
      </c>
      <c r="AM385" s="323">
        <v>5.9322209309433806E-2</v>
      </c>
      <c r="AN385" s="323">
        <v>4.5899608424249859E-2</v>
      </c>
      <c r="AO385" s="323">
        <v>4.1991505371573529E-3</v>
      </c>
      <c r="AP385" s="323">
        <v>7.3276499110865225E-3</v>
      </c>
      <c r="AQ385" s="323">
        <v>0.11403220930943382</v>
      </c>
      <c r="AR385" s="323">
        <v>0.10169960842424985</v>
      </c>
      <c r="AS385" s="323">
        <v>5.8784150537157354E-2</v>
      </c>
      <c r="AT385" s="323">
        <v>8.1091049911086524E-2</v>
      </c>
      <c r="AU385" s="190">
        <v>390215456665342.5</v>
      </c>
      <c r="AV385" s="190">
        <v>379224958092589.25</v>
      </c>
      <c r="AW385" s="190">
        <v>237963407129673.81</v>
      </c>
      <c r="AX385" s="190">
        <v>415253638483753.94</v>
      </c>
      <c r="AY385" s="203">
        <v>3.2</v>
      </c>
      <c r="AZ385" s="239">
        <v>83.7</v>
      </c>
      <c r="BA385" s="203">
        <v>2009</v>
      </c>
      <c r="BB385" s="204">
        <v>43403</v>
      </c>
      <c r="BC385" s="203" t="s">
        <v>716</v>
      </c>
    </row>
    <row r="386" spans="1:55" x14ac:dyDescent="0.2">
      <c r="A386" s="184" t="s">
        <v>3319</v>
      </c>
      <c r="B386" s="184" t="s">
        <v>3320</v>
      </c>
      <c r="C386" s="184" t="s">
        <v>769</v>
      </c>
      <c r="D386" s="185" t="s">
        <v>1043</v>
      </c>
      <c r="E386" s="184" t="s">
        <v>3321</v>
      </c>
      <c r="F386" s="184" t="s">
        <v>716</v>
      </c>
      <c r="G386" s="186">
        <f>IF(ALECA_Input!$F$13="ICAO (3000ft)",'Aircraft Calc'!C$211,'Aircraft Calc'!G$211)</f>
        <v>0.7</v>
      </c>
      <c r="H386" s="186">
        <f>IF(ALECA_Input!$F$13="ICAO (3000ft)",'Aircraft Calc'!D$211,'Aircraft Calc'!H$211)</f>
        <v>2.2000000000000002</v>
      </c>
      <c r="I386" s="186">
        <f>IF(ALECA_Input!$F$13="ICAO (3000ft)",'Aircraft Calc'!E$211,'Aircraft Calc'!I$211)</f>
        <v>4</v>
      </c>
      <c r="J386" s="186">
        <v>1</v>
      </c>
      <c r="K386" s="187">
        <f t="shared" si="97"/>
        <v>188.54399999999998</v>
      </c>
      <c r="L386" s="187">
        <f t="shared" si="98"/>
        <v>2.7096712799999993</v>
      </c>
      <c r="M386" s="187">
        <f t="shared" si="99"/>
        <v>1.6080960000000002E-2</v>
      </c>
      <c r="N386" s="187">
        <f t="shared" si="100"/>
        <v>0.33598368000000001</v>
      </c>
      <c r="O386" s="187">
        <f t="shared" si="101"/>
        <v>1.7163853542682763E-2</v>
      </c>
      <c r="P386" s="188">
        <f t="shared" si="102"/>
        <v>6.379942075322472E+16</v>
      </c>
      <c r="Q386" s="187">
        <f t="shared" si="103"/>
        <v>5279.9999999999991</v>
      </c>
      <c r="R386" s="219">
        <f t="shared" si="104"/>
        <v>19.483199999999997</v>
      </c>
      <c r="S386" s="219">
        <f t="shared" si="105"/>
        <v>21.225599999999996</v>
      </c>
      <c r="T386" s="219">
        <f t="shared" si="106"/>
        <v>220.33439999999996</v>
      </c>
      <c r="U386" s="219">
        <f t="shared" si="107"/>
        <v>0.42816074353053679</v>
      </c>
      <c r="V386" s="188">
        <f t="shared" si="108"/>
        <v>2192539211194220.5</v>
      </c>
      <c r="W386" s="323">
        <v>0.87</v>
      </c>
      <c r="X386" s="323">
        <v>0.71699999999999997</v>
      </c>
      <c r="Y386" s="323">
        <v>0.23899999999999999</v>
      </c>
      <c r="Z386" s="323">
        <v>8.7999999999999995E-2</v>
      </c>
      <c r="AA386" s="323">
        <v>19.68</v>
      </c>
      <c r="AB386" s="323">
        <v>16.22</v>
      </c>
      <c r="AC386" s="323">
        <v>7.94</v>
      </c>
      <c r="AD386" s="323">
        <v>3.69</v>
      </c>
      <c r="AE386" s="323">
        <v>0.05</v>
      </c>
      <c r="AF386" s="323">
        <v>0.09</v>
      </c>
      <c r="AG386" s="323">
        <v>0.1</v>
      </c>
      <c r="AH386" s="323">
        <v>4.0199999999999996</v>
      </c>
      <c r="AI386" s="323">
        <v>0.89</v>
      </c>
      <c r="AJ386" s="323">
        <v>0.77</v>
      </c>
      <c r="AK386" s="323">
        <v>4.0199999999999996</v>
      </c>
      <c r="AL386" s="323">
        <v>41.73</v>
      </c>
      <c r="AM386" s="323">
        <v>5.9322209309433806E-2</v>
      </c>
      <c r="AN386" s="323">
        <v>4.5899608424249859E-2</v>
      </c>
      <c r="AO386" s="323">
        <v>4.1991505371573529E-3</v>
      </c>
      <c r="AP386" s="323">
        <v>7.3276499110865225E-3</v>
      </c>
      <c r="AQ386" s="323">
        <v>0.11403220930943382</v>
      </c>
      <c r="AR386" s="323">
        <v>0.10169960842424985</v>
      </c>
      <c r="AS386" s="323">
        <v>5.8784150537157354E-2</v>
      </c>
      <c r="AT386" s="323">
        <v>8.1091049911086524E-2</v>
      </c>
      <c r="AU386" s="190">
        <v>390215456665342.5</v>
      </c>
      <c r="AV386" s="190">
        <v>379224958092589.25</v>
      </c>
      <c r="AW386" s="190">
        <v>237963407129673.81</v>
      </c>
      <c r="AX386" s="190">
        <v>415253638483753.94</v>
      </c>
      <c r="AY386" s="203">
        <v>3.2</v>
      </c>
      <c r="AZ386" s="239">
        <v>83.7</v>
      </c>
      <c r="BA386" s="203">
        <v>2009</v>
      </c>
      <c r="BB386" s="204">
        <v>43403</v>
      </c>
      <c r="BC386" s="203" t="s">
        <v>3322</v>
      </c>
    </row>
    <row r="387" spans="1:55" x14ac:dyDescent="0.2">
      <c r="A387" s="184" t="s">
        <v>3323</v>
      </c>
      <c r="B387" s="184" t="s">
        <v>3324</v>
      </c>
      <c r="C387" s="184" t="s">
        <v>769</v>
      </c>
      <c r="D387" s="185" t="s">
        <v>1043</v>
      </c>
      <c r="E387" s="184" t="s">
        <v>3325</v>
      </c>
      <c r="F387" s="184" t="s">
        <v>716</v>
      </c>
      <c r="G387" s="186">
        <f>IF(ALECA_Input!$F$13="ICAO (3000ft)",'Aircraft Calc'!C$211,'Aircraft Calc'!G$211)</f>
        <v>0.7</v>
      </c>
      <c r="H387" s="186">
        <f>IF(ALECA_Input!$F$13="ICAO (3000ft)",'Aircraft Calc'!D$211,'Aircraft Calc'!H$211)</f>
        <v>2.2000000000000002</v>
      </c>
      <c r="I387" s="186">
        <f>IF(ALECA_Input!$F$13="ICAO (3000ft)",'Aircraft Calc'!E$211,'Aircraft Calc'!I$211)</f>
        <v>4</v>
      </c>
      <c r="J387" s="186">
        <v>1</v>
      </c>
      <c r="K387" s="187">
        <f t="shared" si="97"/>
        <v>188.54399999999998</v>
      </c>
      <c r="L387" s="187">
        <f t="shared" si="98"/>
        <v>2.7096712799999993</v>
      </c>
      <c r="M387" s="187">
        <f t="shared" si="99"/>
        <v>1.6080960000000002E-2</v>
      </c>
      <c r="N387" s="187">
        <f t="shared" si="100"/>
        <v>0.33598368000000001</v>
      </c>
      <c r="O387" s="187">
        <f t="shared" si="101"/>
        <v>1.7163853542682763E-2</v>
      </c>
      <c r="P387" s="188">
        <f t="shared" si="102"/>
        <v>6.379942075322472E+16</v>
      </c>
      <c r="Q387" s="187">
        <f t="shared" si="103"/>
        <v>5279.9999999999991</v>
      </c>
      <c r="R387" s="219">
        <f t="shared" si="104"/>
        <v>19.483199999999997</v>
      </c>
      <c r="S387" s="219">
        <f t="shared" si="105"/>
        <v>21.225599999999996</v>
      </c>
      <c r="T387" s="219">
        <f t="shared" si="106"/>
        <v>220.33439999999996</v>
      </c>
      <c r="U387" s="219">
        <f t="shared" si="107"/>
        <v>0.42816074353053679</v>
      </c>
      <c r="V387" s="188">
        <f t="shared" si="108"/>
        <v>2192539211194220.5</v>
      </c>
      <c r="W387" s="323">
        <v>0.87</v>
      </c>
      <c r="X387" s="323">
        <v>0.71699999999999997</v>
      </c>
      <c r="Y387" s="323">
        <v>0.23899999999999999</v>
      </c>
      <c r="Z387" s="323">
        <v>8.7999999999999995E-2</v>
      </c>
      <c r="AA387" s="323">
        <v>19.68</v>
      </c>
      <c r="AB387" s="323">
        <v>16.22</v>
      </c>
      <c r="AC387" s="323">
        <v>7.94</v>
      </c>
      <c r="AD387" s="323">
        <v>3.69</v>
      </c>
      <c r="AE387" s="323">
        <v>0.05</v>
      </c>
      <c r="AF387" s="323">
        <v>0.09</v>
      </c>
      <c r="AG387" s="323">
        <v>0.1</v>
      </c>
      <c r="AH387" s="323">
        <v>4.0199999999999996</v>
      </c>
      <c r="AI387" s="323">
        <v>0.89</v>
      </c>
      <c r="AJ387" s="323">
        <v>0.77</v>
      </c>
      <c r="AK387" s="323">
        <v>4.0199999999999996</v>
      </c>
      <c r="AL387" s="323">
        <v>41.73</v>
      </c>
      <c r="AM387" s="323">
        <v>5.9322209309433806E-2</v>
      </c>
      <c r="AN387" s="323">
        <v>4.5899608424249859E-2</v>
      </c>
      <c r="AO387" s="323">
        <v>4.1991505371573529E-3</v>
      </c>
      <c r="AP387" s="323">
        <v>7.3276499110865225E-3</v>
      </c>
      <c r="AQ387" s="323">
        <v>0.11403220930943382</v>
      </c>
      <c r="AR387" s="323">
        <v>0.10169960842424985</v>
      </c>
      <c r="AS387" s="323">
        <v>5.8784150537157354E-2</v>
      </c>
      <c r="AT387" s="323">
        <v>8.1091049911086524E-2</v>
      </c>
      <c r="AU387" s="190">
        <v>390215456665342.5</v>
      </c>
      <c r="AV387" s="190">
        <v>379224958092589.25</v>
      </c>
      <c r="AW387" s="190">
        <v>237963407129673.81</v>
      </c>
      <c r="AX387" s="190">
        <v>415253638483753.94</v>
      </c>
      <c r="AY387" s="203">
        <v>3.2</v>
      </c>
      <c r="AZ387" s="239">
        <v>83.7</v>
      </c>
      <c r="BA387" s="203">
        <v>2009</v>
      </c>
      <c r="BB387" s="204">
        <v>43403</v>
      </c>
      <c r="BC387" s="203" t="s">
        <v>3322</v>
      </c>
    </row>
    <row r="388" spans="1:55" x14ac:dyDescent="0.2">
      <c r="A388" s="184" t="s">
        <v>3326</v>
      </c>
      <c r="B388" s="184" t="s">
        <v>1430</v>
      </c>
      <c r="C388" s="184" t="s">
        <v>769</v>
      </c>
      <c r="D388" s="185" t="s">
        <v>1043</v>
      </c>
      <c r="E388" s="184" t="s">
        <v>3327</v>
      </c>
      <c r="F388" s="184" t="s">
        <v>716</v>
      </c>
      <c r="G388" s="186">
        <f>IF(ALECA_Input!$F$13="ICAO (3000ft)",'Aircraft Calc'!C$211,'Aircraft Calc'!G$211)</f>
        <v>0.7</v>
      </c>
      <c r="H388" s="186">
        <f>IF(ALECA_Input!$F$13="ICAO (3000ft)",'Aircraft Calc'!D$211,'Aircraft Calc'!H$211)</f>
        <v>2.2000000000000002</v>
      </c>
      <c r="I388" s="186">
        <f>IF(ALECA_Input!$F$13="ICAO (3000ft)",'Aircraft Calc'!E$211,'Aircraft Calc'!I$211)</f>
        <v>4</v>
      </c>
      <c r="J388" s="186">
        <v>1</v>
      </c>
      <c r="K388" s="187">
        <f t="shared" si="97"/>
        <v>188.54399999999998</v>
      </c>
      <c r="L388" s="187">
        <f t="shared" si="98"/>
        <v>2.7096712799999993</v>
      </c>
      <c r="M388" s="187">
        <f t="shared" si="99"/>
        <v>1.6080960000000002E-2</v>
      </c>
      <c r="N388" s="187">
        <f t="shared" si="100"/>
        <v>0.33598368000000001</v>
      </c>
      <c r="O388" s="187">
        <f t="shared" si="101"/>
        <v>1.7163853542682763E-2</v>
      </c>
      <c r="P388" s="188">
        <f t="shared" si="102"/>
        <v>6.379942075322472E+16</v>
      </c>
      <c r="Q388" s="187">
        <f t="shared" si="103"/>
        <v>5279.9999999999991</v>
      </c>
      <c r="R388" s="219">
        <f t="shared" si="104"/>
        <v>19.483199999999997</v>
      </c>
      <c r="S388" s="219">
        <f t="shared" si="105"/>
        <v>21.225599999999996</v>
      </c>
      <c r="T388" s="219">
        <f t="shared" si="106"/>
        <v>220.33439999999996</v>
      </c>
      <c r="U388" s="219">
        <f t="shared" si="107"/>
        <v>0.42816074353053679</v>
      </c>
      <c r="V388" s="188">
        <f t="shared" si="108"/>
        <v>2192539211194220.5</v>
      </c>
      <c r="W388" s="323">
        <v>0.87</v>
      </c>
      <c r="X388" s="323">
        <v>0.71699999999999997</v>
      </c>
      <c r="Y388" s="323">
        <v>0.23899999999999999</v>
      </c>
      <c r="Z388" s="323">
        <v>8.7999999999999995E-2</v>
      </c>
      <c r="AA388" s="323">
        <v>19.68</v>
      </c>
      <c r="AB388" s="323">
        <v>16.22</v>
      </c>
      <c r="AC388" s="323">
        <v>7.94</v>
      </c>
      <c r="AD388" s="323">
        <v>3.69</v>
      </c>
      <c r="AE388" s="323">
        <v>0.05</v>
      </c>
      <c r="AF388" s="323">
        <v>0.09</v>
      </c>
      <c r="AG388" s="323">
        <v>0.1</v>
      </c>
      <c r="AH388" s="323">
        <v>4.0199999999999996</v>
      </c>
      <c r="AI388" s="323">
        <v>0.89</v>
      </c>
      <c r="AJ388" s="323">
        <v>0.77</v>
      </c>
      <c r="AK388" s="323">
        <v>4.0199999999999996</v>
      </c>
      <c r="AL388" s="323">
        <v>41.73</v>
      </c>
      <c r="AM388" s="323">
        <v>5.9322209309433806E-2</v>
      </c>
      <c r="AN388" s="323">
        <v>4.5899608424249859E-2</v>
      </c>
      <c r="AO388" s="323">
        <v>4.1991505371573529E-3</v>
      </c>
      <c r="AP388" s="323">
        <v>7.3276499110865225E-3</v>
      </c>
      <c r="AQ388" s="323">
        <v>0.11403220930943382</v>
      </c>
      <c r="AR388" s="323">
        <v>0.10169960842424985</v>
      </c>
      <c r="AS388" s="323">
        <v>5.8784150537157354E-2</v>
      </c>
      <c r="AT388" s="323">
        <v>8.1091049911086524E-2</v>
      </c>
      <c r="AU388" s="190">
        <v>390215456665342.5</v>
      </c>
      <c r="AV388" s="190">
        <v>379224958092589.25</v>
      </c>
      <c r="AW388" s="190">
        <v>237963407129673.81</v>
      </c>
      <c r="AX388" s="190">
        <v>415253638483753.94</v>
      </c>
      <c r="AY388" s="203">
        <v>6147.2</v>
      </c>
      <c r="AZ388" s="239">
        <v>83.7</v>
      </c>
      <c r="BA388" s="203">
        <v>2009</v>
      </c>
      <c r="BB388" s="204">
        <v>43403</v>
      </c>
      <c r="BC388" s="203" t="s">
        <v>716</v>
      </c>
    </row>
    <row r="389" spans="1:55" x14ac:dyDescent="0.2">
      <c r="A389" s="184" t="s">
        <v>1710</v>
      </c>
      <c r="B389" s="184" t="s">
        <v>1709</v>
      </c>
      <c r="C389" s="184" t="s">
        <v>769</v>
      </c>
      <c r="D389" s="185" t="s">
        <v>1043</v>
      </c>
      <c r="E389" s="184" t="s">
        <v>1711</v>
      </c>
      <c r="F389" s="184" t="s">
        <v>1711</v>
      </c>
      <c r="G389" s="186">
        <f>IF(ALECA_Input!$F$13="ICAO (3000ft)",'Aircraft Calc'!C$211,'Aircraft Calc'!G$211)</f>
        <v>0.7</v>
      </c>
      <c r="H389" s="186">
        <f>IF(ALECA_Input!$F$13="ICAO (3000ft)",'Aircraft Calc'!D$211,'Aircraft Calc'!H$211)</f>
        <v>2.2000000000000002</v>
      </c>
      <c r="I389" s="186">
        <f>IF(ALECA_Input!$F$13="ICAO (3000ft)",'Aircraft Calc'!E$211,'Aircraft Calc'!I$211)</f>
        <v>4</v>
      </c>
      <c r="J389" s="189">
        <v>1</v>
      </c>
      <c r="K389" s="187">
        <f t="shared" si="73"/>
        <v>415.25400000000002</v>
      </c>
      <c r="L389" s="187">
        <f t="shared" si="74"/>
        <v>4.3066962000000002</v>
      </c>
      <c r="M389" s="187">
        <f t="shared" si="75"/>
        <v>1.6023480000000003E-2</v>
      </c>
      <c r="N389" s="187">
        <f t="shared" si="76"/>
        <v>0.8493340800000001</v>
      </c>
      <c r="O389" s="187">
        <f t="shared" si="77"/>
        <v>2.3465924221977696E-2</v>
      </c>
      <c r="P389" s="188">
        <f t="shared" si="78"/>
        <v>8.477031925904256E+16</v>
      </c>
      <c r="Q389" s="187">
        <f t="shared" si="79"/>
        <v>11700.000000000002</v>
      </c>
      <c r="R389" s="219">
        <f t="shared" si="80"/>
        <v>48.08700000000001</v>
      </c>
      <c r="S389" s="219">
        <f t="shared" si="81"/>
        <v>11.934000000000001</v>
      </c>
      <c r="T389" s="219">
        <f t="shared" si="82"/>
        <v>276.23700000000002</v>
      </c>
      <c r="U389" s="219">
        <f t="shared" si="83"/>
        <v>0.68439849509450701</v>
      </c>
      <c r="V389" s="188">
        <f t="shared" si="84"/>
        <v>1914039995568950.8</v>
      </c>
      <c r="W389" s="323">
        <v>1.893</v>
      </c>
      <c r="X389" s="323">
        <v>1.569</v>
      </c>
      <c r="Y389" s="323">
        <v>0.53600000000000003</v>
      </c>
      <c r="Z389" s="323">
        <v>0.19500000000000001</v>
      </c>
      <c r="AA389" s="323">
        <v>15.72</v>
      </c>
      <c r="AB389" s="323">
        <v>9.7100000000000009</v>
      </c>
      <c r="AC389" s="323">
        <v>8.1300000000000008</v>
      </c>
      <c r="AD389" s="323">
        <v>4.1100000000000003</v>
      </c>
      <c r="AE389" s="323">
        <v>0.02</v>
      </c>
      <c r="AF389" s="323">
        <v>0.02</v>
      </c>
      <c r="AG389" s="323">
        <v>0.08</v>
      </c>
      <c r="AH389" s="323">
        <v>1.02</v>
      </c>
      <c r="AI389" s="323">
        <v>0.34</v>
      </c>
      <c r="AJ389" s="323">
        <v>1.43</v>
      </c>
      <c r="AK389" s="323">
        <v>4.09</v>
      </c>
      <c r="AL389" s="323">
        <v>23.61</v>
      </c>
      <c r="AM389" s="323">
        <v>1.3792414342428912E-3</v>
      </c>
      <c r="AN389" s="323">
        <v>1.5591878606120145E-3</v>
      </c>
      <c r="AO389" s="323">
        <v>1.263963132051573E-2</v>
      </c>
      <c r="AP389" s="323">
        <v>3.2421978713253778E-3</v>
      </c>
      <c r="AQ389" s="323">
        <v>5.2639241434242888E-2</v>
      </c>
      <c r="AR389" s="323">
        <v>5.203918786061202E-2</v>
      </c>
      <c r="AS389" s="323">
        <v>6.6099631320515745E-2</v>
      </c>
      <c r="AT389" s="323">
        <v>5.8495597871325383E-2</v>
      </c>
      <c r="AU389" s="190">
        <v>8699132361903.3594</v>
      </c>
      <c r="AV389" s="190">
        <v>9834087955733.6621</v>
      </c>
      <c r="AW389" s="190">
        <v>637764052807376.88</v>
      </c>
      <c r="AX389" s="190">
        <v>163593162014440.22</v>
      </c>
      <c r="AY389" s="203">
        <v>5.6</v>
      </c>
      <c r="AZ389" s="239">
        <v>255.3</v>
      </c>
      <c r="BA389" s="203">
        <v>2009</v>
      </c>
      <c r="BB389" s="204">
        <v>41625</v>
      </c>
      <c r="BC389" s="203" t="s">
        <v>1712</v>
      </c>
    </row>
    <row r="390" spans="1:55" x14ac:dyDescent="0.2">
      <c r="A390" s="184" t="s">
        <v>1714</v>
      </c>
      <c r="B390" s="184" t="s">
        <v>1713</v>
      </c>
      <c r="C390" s="184" t="s">
        <v>769</v>
      </c>
      <c r="D390" s="185" t="s">
        <v>1043</v>
      </c>
      <c r="E390" s="184" t="s">
        <v>1715</v>
      </c>
      <c r="F390" s="184" t="s">
        <v>1715</v>
      </c>
      <c r="G390" s="186">
        <f>IF(ALECA_Input!$F$13="ICAO (3000ft)",'Aircraft Calc'!C$211,'Aircraft Calc'!G$211)</f>
        <v>0.7</v>
      </c>
      <c r="H390" s="186">
        <f>IF(ALECA_Input!$F$13="ICAO (3000ft)",'Aircraft Calc'!D$211,'Aircraft Calc'!H$211)</f>
        <v>2.2000000000000002</v>
      </c>
      <c r="I390" s="186">
        <f>IF(ALECA_Input!$F$13="ICAO (3000ft)",'Aircraft Calc'!E$211,'Aircraft Calc'!I$211)</f>
        <v>4</v>
      </c>
      <c r="J390" s="189">
        <v>1</v>
      </c>
      <c r="K390" s="187">
        <f t="shared" si="73"/>
        <v>443.62200000000001</v>
      </c>
      <c r="L390" s="187">
        <f t="shared" si="74"/>
        <v>5.356898880000001</v>
      </c>
      <c r="M390" s="187">
        <f t="shared" si="75"/>
        <v>1.567644E-2</v>
      </c>
      <c r="N390" s="187">
        <f t="shared" si="76"/>
        <v>0.68810544000000007</v>
      </c>
      <c r="O390" s="187">
        <f t="shared" si="77"/>
        <v>2.6724973453346082E-2</v>
      </c>
      <c r="P390" s="188">
        <f t="shared" si="78"/>
        <v>1.7807600273317123E+17</v>
      </c>
      <c r="Q390" s="187">
        <f t="shared" si="79"/>
        <v>12000</v>
      </c>
      <c r="R390" s="219">
        <f t="shared" si="80"/>
        <v>50.64</v>
      </c>
      <c r="S390" s="219">
        <f t="shared" si="81"/>
        <v>10.08</v>
      </c>
      <c r="T390" s="219">
        <f t="shared" si="82"/>
        <v>263.64</v>
      </c>
      <c r="U390" s="219">
        <f t="shared" si="83"/>
        <v>0.68821796122794776</v>
      </c>
      <c r="V390" s="188">
        <f t="shared" si="84"/>
        <v>1942833366321098</v>
      </c>
      <c r="W390" s="323">
        <v>2.0329999999999999</v>
      </c>
      <c r="X390" s="323">
        <v>1.6830000000000001</v>
      </c>
      <c r="Y390" s="323">
        <v>0.56699999999999995</v>
      </c>
      <c r="Z390" s="323">
        <v>0.2</v>
      </c>
      <c r="AA390" s="323">
        <v>18.86</v>
      </c>
      <c r="AB390" s="323">
        <v>11.67</v>
      </c>
      <c r="AC390" s="323">
        <v>8.48</v>
      </c>
      <c r="AD390" s="323">
        <v>4.22</v>
      </c>
      <c r="AE390" s="323">
        <v>0.02</v>
      </c>
      <c r="AF390" s="323">
        <v>0.02</v>
      </c>
      <c r="AG390" s="323">
        <v>7.0000000000000007E-2</v>
      </c>
      <c r="AH390" s="323">
        <v>0.84</v>
      </c>
      <c r="AI390" s="323">
        <v>0.24</v>
      </c>
      <c r="AJ390" s="323">
        <v>0.8</v>
      </c>
      <c r="AK390" s="323">
        <v>3.6</v>
      </c>
      <c r="AL390" s="323">
        <v>21.97</v>
      </c>
      <c r="AM390" s="323">
        <v>1.3792414342428912E-3</v>
      </c>
      <c r="AN390" s="323">
        <v>1.5591878606120145E-3</v>
      </c>
      <c r="AO390" s="323">
        <v>2.5508594693413385E-2</v>
      </c>
      <c r="AP390" s="323">
        <v>3.2086967689956432E-3</v>
      </c>
      <c r="AQ390" s="323">
        <v>5.2639241434242888E-2</v>
      </c>
      <c r="AR390" s="323">
        <v>5.203918786061202E-2</v>
      </c>
      <c r="AS390" s="323">
        <v>7.8406094693413378E-2</v>
      </c>
      <c r="AT390" s="323">
        <v>5.7351496768995647E-2</v>
      </c>
      <c r="AU390" s="190">
        <v>8699132361903.3594</v>
      </c>
      <c r="AV390" s="190">
        <v>9834087955733.6621</v>
      </c>
      <c r="AW390" s="190">
        <v>1287099625025160.3</v>
      </c>
      <c r="AX390" s="190">
        <v>161902780526758.16</v>
      </c>
      <c r="AY390" s="203">
        <v>6.7</v>
      </c>
      <c r="AZ390" s="239">
        <v>271.3</v>
      </c>
      <c r="BA390" s="203">
        <v>2009</v>
      </c>
      <c r="BB390" s="204">
        <v>41625</v>
      </c>
      <c r="BC390" s="203" t="s">
        <v>1712</v>
      </c>
    </row>
    <row r="391" spans="1:55" x14ac:dyDescent="0.2">
      <c r="A391" s="184" t="s">
        <v>1717</v>
      </c>
      <c r="B391" s="184" t="s">
        <v>1716</v>
      </c>
      <c r="C391" s="184" t="s">
        <v>769</v>
      </c>
      <c r="D391" s="185" t="s">
        <v>1043</v>
      </c>
      <c r="E391" s="184" t="s">
        <v>1718</v>
      </c>
      <c r="F391" s="184" t="s">
        <v>1718</v>
      </c>
      <c r="G391" s="186">
        <f>IF(ALECA_Input!$F$13="ICAO (3000ft)",'Aircraft Calc'!C$211,'Aircraft Calc'!G$211)</f>
        <v>0.7</v>
      </c>
      <c r="H391" s="186">
        <f>IF(ALECA_Input!$F$13="ICAO (3000ft)",'Aircraft Calc'!D$211,'Aircraft Calc'!H$211)</f>
        <v>2.2000000000000002</v>
      </c>
      <c r="I391" s="186">
        <f>IF(ALECA_Input!$F$13="ICAO (3000ft)",'Aircraft Calc'!E$211,'Aircraft Calc'!I$211)</f>
        <v>4</v>
      </c>
      <c r="J391" s="189">
        <v>1</v>
      </c>
      <c r="K391" s="187">
        <f t="shared" si="73"/>
        <v>491.62799999999999</v>
      </c>
      <c r="L391" s="187">
        <f t="shared" si="74"/>
        <v>7.6175229600000005</v>
      </c>
      <c r="M391" s="187">
        <f t="shared" si="75"/>
        <v>1.5765359999999999E-2</v>
      </c>
      <c r="N391" s="187">
        <f t="shared" si="76"/>
        <v>0.53798040000000003</v>
      </c>
      <c r="O391" s="187">
        <f t="shared" si="77"/>
        <v>3.4266301739236289E-2</v>
      </c>
      <c r="P391" s="188">
        <f t="shared" si="78"/>
        <v>4.3624800094202637E+17</v>
      </c>
      <c r="Q391" s="187">
        <f t="shared" si="79"/>
        <v>12600</v>
      </c>
      <c r="R391" s="219">
        <f t="shared" si="80"/>
        <v>55.061999999999998</v>
      </c>
      <c r="S391" s="219">
        <f t="shared" si="81"/>
        <v>8.0640000000000001</v>
      </c>
      <c r="T391" s="219">
        <f t="shared" si="82"/>
        <v>248.59799999999998</v>
      </c>
      <c r="U391" s="219">
        <f t="shared" si="83"/>
        <v>0.7087930197461394</v>
      </c>
      <c r="V391" s="188">
        <f t="shared" si="84"/>
        <v>2126386534300910.8</v>
      </c>
      <c r="W391" s="323">
        <v>2.278</v>
      </c>
      <c r="X391" s="323">
        <v>1.8759999999999999</v>
      </c>
      <c r="Y391" s="323">
        <v>0.61799999999999999</v>
      </c>
      <c r="Z391" s="323">
        <v>0.21</v>
      </c>
      <c r="AA391" s="323">
        <v>25.74</v>
      </c>
      <c r="AB391" s="323">
        <v>15.36</v>
      </c>
      <c r="AC391" s="323">
        <v>9.11</v>
      </c>
      <c r="AD391" s="323">
        <v>4.37</v>
      </c>
      <c r="AE391" s="323">
        <v>0.02</v>
      </c>
      <c r="AF391" s="323">
        <v>0.02</v>
      </c>
      <c r="AG391" s="323">
        <v>0.06</v>
      </c>
      <c r="AH391" s="323">
        <v>0.64</v>
      </c>
      <c r="AI391" s="323">
        <v>0.18</v>
      </c>
      <c r="AJ391" s="323">
        <v>0.36</v>
      </c>
      <c r="AK391" s="323">
        <v>2.91</v>
      </c>
      <c r="AL391" s="323">
        <v>19.73</v>
      </c>
      <c r="AM391" s="323">
        <v>1.3792414342428912E-3</v>
      </c>
      <c r="AN391" s="323">
        <v>1.5591878606120145E-3</v>
      </c>
      <c r="AO391" s="323">
        <v>5.7855274457083279E-2</v>
      </c>
      <c r="AP391" s="323">
        <v>3.3446142655666178E-3</v>
      </c>
      <c r="AQ391" s="323">
        <v>5.2639241434242888E-2</v>
      </c>
      <c r="AR391" s="323">
        <v>5.203918786061202E-2</v>
      </c>
      <c r="AS391" s="323">
        <v>0.11019027445708328</v>
      </c>
      <c r="AT391" s="323">
        <v>5.6253414265566619E-2</v>
      </c>
      <c r="AU391" s="190">
        <v>8699132361903.3594</v>
      </c>
      <c r="AV391" s="190">
        <v>9834087955733.6621</v>
      </c>
      <c r="AW391" s="190">
        <v>2919231849282057</v>
      </c>
      <c r="AX391" s="190">
        <v>168760836055627.84</v>
      </c>
      <c r="AY391" s="203">
        <v>9</v>
      </c>
      <c r="AZ391" s="239">
        <v>298</v>
      </c>
      <c r="BA391" s="203">
        <v>2009</v>
      </c>
      <c r="BB391" s="204">
        <v>41625</v>
      </c>
      <c r="BC391" s="203" t="s">
        <v>1712</v>
      </c>
    </row>
    <row r="392" spans="1:55" x14ac:dyDescent="0.2">
      <c r="A392" s="184" t="s">
        <v>1720</v>
      </c>
      <c r="B392" s="184" t="s">
        <v>1719</v>
      </c>
      <c r="C392" s="184" t="s">
        <v>769</v>
      </c>
      <c r="D392" s="185" t="s">
        <v>1043</v>
      </c>
      <c r="E392" s="184" t="s">
        <v>1721</v>
      </c>
      <c r="F392" s="184" t="s">
        <v>1721</v>
      </c>
      <c r="G392" s="186">
        <f>IF(ALECA_Input!$F$13="ICAO (3000ft)",'Aircraft Calc'!C$211,'Aircraft Calc'!G$211)</f>
        <v>0.7</v>
      </c>
      <c r="H392" s="186">
        <f>IF(ALECA_Input!$F$13="ICAO (3000ft)",'Aircraft Calc'!D$211,'Aircraft Calc'!H$211)</f>
        <v>2.2000000000000002</v>
      </c>
      <c r="I392" s="186">
        <f>IF(ALECA_Input!$F$13="ICAO (3000ft)",'Aircraft Calc'!E$211,'Aircraft Calc'!I$211)</f>
        <v>4</v>
      </c>
      <c r="J392" s="189">
        <v>1</v>
      </c>
      <c r="K392" s="187">
        <f t="shared" si="73"/>
        <v>511.24799999999999</v>
      </c>
      <c r="L392" s="187">
        <f t="shared" si="74"/>
        <v>8.7679699199999988</v>
      </c>
      <c r="M392" s="187">
        <f t="shared" si="75"/>
        <v>1.6359360000000003E-2</v>
      </c>
      <c r="N392" s="187">
        <f t="shared" si="76"/>
        <v>0.50379672000000009</v>
      </c>
      <c r="O392" s="187">
        <f t="shared" si="77"/>
        <v>3.7141271763737452E-2</v>
      </c>
      <c r="P392" s="188">
        <f t="shared" si="78"/>
        <v>5.2972780952176192E+17</v>
      </c>
      <c r="Q392" s="187">
        <f t="shared" si="79"/>
        <v>12840</v>
      </c>
      <c r="R392" s="219">
        <f t="shared" si="80"/>
        <v>56.881199999999993</v>
      </c>
      <c r="S392" s="219">
        <f t="shared" si="81"/>
        <v>7.4471999999999996</v>
      </c>
      <c r="T392" s="219">
        <f t="shared" si="82"/>
        <v>243.18960000000001</v>
      </c>
      <c r="U392" s="219">
        <f t="shared" si="83"/>
        <v>0.72028403342456482</v>
      </c>
      <c r="V392" s="188">
        <f t="shared" si="84"/>
        <v>2305322396044718.5</v>
      </c>
      <c r="W392" s="323">
        <v>2.38</v>
      </c>
      <c r="X392" s="323">
        <v>1.954</v>
      </c>
      <c r="Y392" s="323">
        <v>0.63900000000000001</v>
      </c>
      <c r="Z392" s="323">
        <v>0.214</v>
      </c>
      <c r="AA392" s="323">
        <v>29.34</v>
      </c>
      <c r="AB392" s="323">
        <v>17.04</v>
      </c>
      <c r="AC392" s="323">
        <v>9.39</v>
      </c>
      <c r="AD392" s="323">
        <v>4.43</v>
      </c>
      <c r="AE392" s="323">
        <v>0.02</v>
      </c>
      <c r="AF392" s="323">
        <v>0.02</v>
      </c>
      <c r="AG392" s="323">
        <v>0.06</v>
      </c>
      <c r="AH392" s="323">
        <v>0.57999999999999996</v>
      </c>
      <c r="AI392" s="323">
        <v>0.18</v>
      </c>
      <c r="AJ392" s="323">
        <v>0.28999999999999998</v>
      </c>
      <c r="AK392" s="323">
        <v>2.68</v>
      </c>
      <c r="AL392" s="323">
        <v>18.940000000000001</v>
      </c>
      <c r="AM392" s="323">
        <v>1.3792414342428912E-3</v>
      </c>
      <c r="AN392" s="323">
        <v>1.5591878606120145E-3</v>
      </c>
      <c r="AO392" s="323">
        <v>6.8016392432567768E-2</v>
      </c>
      <c r="AP392" s="323">
        <v>3.5582873383617443E-3</v>
      </c>
      <c r="AQ392" s="323">
        <v>5.2639241434242888E-2</v>
      </c>
      <c r="AR392" s="323">
        <v>5.203918786061202E-2</v>
      </c>
      <c r="AS392" s="323">
        <v>0.12035139243256776</v>
      </c>
      <c r="AT392" s="323">
        <v>5.6096887338361746E-2</v>
      </c>
      <c r="AU392" s="190">
        <v>8699132361903.3594</v>
      </c>
      <c r="AV392" s="190">
        <v>9834087955733.6621</v>
      </c>
      <c r="AW392" s="190">
        <v>3431936343326940</v>
      </c>
      <c r="AX392" s="190">
        <v>179542242682610.47</v>
      </c>
      <c r="AY392" s="203">
        <v>10.199999999999999</v>
      </c>
      <c r="AZ392" s="239">
        <v>308.7</v>
      </c>
      <c r="BA392" s="203">
        <v>2009</v>
      </c>
      <c r="BB392" s="204">
        <v>41626</v>
      </c>
      <c r="BC392" s="203" t="s">
        <v>1712</v>
      </c>
    </row>
    <row r="393" spans="1:55" x14ac:dyDescent="0.2">
      <c r="A393" s="184" t="s">
        <v>1723</v>
      </c>
      <c r="B393" s="184" t="s">
        <v>1722</v>
      </c>
      <c r="C393" s="184" t="s">
        <v>769</v>
      </c>
      <c r="D393" s="185" t="s">
        <v>1043</v>
      </c>
      <c r="E393" s="184" t="s">
        <v>1724</v>
      </c>
      <c r="F393" s="184" t="s">
        <v>1725</v>
      </c>
      <c r="G393" s="186">
        <f>IF(ALECA_Input!$F$13="ICAO (3000ft)",'Aircraft Calc'!C$211,'Aircraft Calc'!G$211)</f>
        <v>0.7</v>
      </c>
      <c r="H393" s="186">
        <f>IF(ALECA_Input!$F$13="ICAO (3000ft)",'Aircraft Calc'!D$211,'Aircraft Calc'!H$211)</f>
        <v>2.2000000000000002</v>
      </c>
      <c r="I393" s="186">
        <f>IF(ALECA_Input!$F$13="ICAO (3000ft)",'Aircraft Calc'!E$211,'Aircraft Calc'!I$211)</f>
        <v>4</v>
      </c>
      <c r="J393" s="189">
        <v>1</v>
      </c>
      <c r="K393" s="187">
        <f t="shared" si="73"/>
        <v>535.30200000000002</v>
      </c>
      <c r="L393" s="187">
        <f t="shared" si="74"/>
        <v>10.417018499999999</v>
      </c>
      <c r="M393" s="187">
        <f t="shared" si="75"/>
        <v>1.6283640000000002E-2</v>
      </c>
      <c r="N393" s="187">
        <f t="shared" si="76"/>
        <v>0.46715892000000003</v>
      </c>
      <c r="O393" s="187">
        <f t="shared" si="77"/>
        <v>4.0146894266433988E-2</v>
      </c>
      <c r="P393" s="188">
        <f t="shared" si="78"/>
        <v>6.2040835958134067E+17</v>
      </c>
      <c r="Q393" s="187">
        <f t="shared" si="79"/>
        <v>13140</v>
      </c>
      <c r="R393" s="219">
        <f t="shared" si="80"/>
        <v>59.13</v>
      </c>
      <c r="S393" s="219">
        <f t="shared" si="81"/>
        <v>6.8328000000000007</v>
      </c>
      <c r="T393" s="219">
        <f t="shared" si="82"/>
        <v>237.17700000000002</v>
      </c>
      <c r="U393" s="219">
        <f t="shared" si="83"/>
        <v>0.73224867162607332</v>
      </c>
      <c r="V393" s="188">
        <f t="shared" si="84"/>
        <v>2359185068849501.5</v>
      </c>
      <c r="W393" s="323">
        <v>2.5049999999999999</v>
      </c>
      <c r="X393" s="323">
        <v>2.0510000000000002</v>
      </c>
      <c r="Y393" s="323">
        <v>0.66400000000000003</v>
      </c>
      <c r="Z393" s="323">
        <v>0.219</v>
      </c>
      <c r="AA393" s="323">
        <v>34.61</v>
      </c>
      <c r="AB393" s="323">
        <v>19.3</v>
      </c>
      <c r="AC393" s="323">
        <v>9.73</v>
      </c>
      <c r="AD393" s="323">
        <v>4.5</v>
      </c>
      <c r="AE393" s="323">
        <v>0.02</v>
      </c>
      <c r="AF393" s="323">
        <v>0.02</v>
      </c>
      <c r="AG393" s="323">
        <v>5.5E-2</v>
      </c>
      <c r="AH393" s="323">
        <v>0.52</v>
      </c>
      <c r="AI393" s="323">
        <v>0.17</v>
      </c>
      <c r="AJ393" s="323">
        <v>0.23499999999999999</v>
      </c>
      <c r="AK393" s="323">
        <v>2.42</v>
      </c>
      <c r="AL393" s="323">
        <v>18.05</v>
      </c>
      <c r="AM393" s="323">
        <v>1.3792414342428912E-3</v>
      </c>
      <c r="AN393" s="323">
        <v>1.5591878606120145E-3</v>
      </c>
      <c r="AO393" s="323">
        <v>7.6711600572653568E-2</v>
      </c>
      <c r="AP393" s="323">
        <v>3.5582873383617443E-3</v>
      </c>
      <c r="AQ393" s="323">
        <v>5.2639241434242888E-2</v>
      </c>
      <c r="AR393" s="323">
        <v>5.203918786061202E-2</v>
      </c>
      <c r="AS393" s="323">
        <v>0.12876535057265359</v>
      </c>
      <c r="AT393" s="323">
        <v>5.5726687338361738E-2</v>
      </c>
      <c r="AU393" s="190">
        <v>8699132361903.3594</v>
      </c>
      <c r="AV393" s="190">
        <v>9834087955733.6621</v>
      </c>
      <c r="AW393" s="190">
        <v>3870674708616422</v>
      </c>
      <c r="AX393" s="190">
        <v>179542242682610.47</v>
      </c>
      <c r="AY393" s="203">
        <v>12</v>
      </c>
      <c r="AZ393" s="239">
        <v>321.60000000000002</v>
      </c>
      <c r="BA393" s="203">
        <v>2009</v>
      </c>
      <c r="BB393" s="204">
        <v>41626</v>
      </c>
      <c r="BC393" s="203" t="s">
        <v>1712</v>
      </c>
    </row>
    <row r="394" spans="1:55" x14ac:dyDescent="0.2">
      <c r="A394" s="184" t="s">
        <v>1727</v>
      </c>
      <c r="B394" s="184" t="s">
        <v>1726</v>
      </c>
      <c r="C394" s="184" t="s">
        <v>769</v>
      </c>
      <c r="D394" s="185" t="s">
        <v>1043</v>
      </c>
      <c r="E394" s="184" t="s">
        <v>1728</v>
      </c>
      <c r="F394" s="184" t="s">
        <v>1728</v>
      </c>
      <c r="G394" s="186">
        <f>IF(ALECA_Input!$F$13="ICAO (3000ft)",'Aircraft Calc'!C$211,'Aircraft Calc'!G$211)</f>
        <v>0.7</v>
      </c>
      <c r="H394" s="186">
        <f>IF(ALECA_Input!$F$13="ICAO (3000ft)",'Aircraft Calc'!D$211,'Aircraft Calc'!H$211)</f>
        <v>2.2000000000000002</v>
      </c>
      <c r="I394" s="186">
        <f>IF(ALECA_Input!$F$13="ICAO (3000ft)",'Aircraft Calc'!E$211,'Aircraft Calc'!I$211)</f>
        <v>4</v>
      </c>
      <c r="J394" s="189">
        <v>1</v>
      </c>
      <c r="K394" s="187">
        <f t="shared" si="73"/>
        <v>573.16200000000003</v>
      </c>
      <c r="L394" s="187">
        <f t="shared" si="74"/>
        <v>13.643185920000002</v>
      </c>
      <c r="M394" s="187">
        <f t="shared" si="75"/>
        <v>1.766262E-2</v>
      </c>
      <c r="N394" s="187">
        <f t="shared" si="76"/>
        <v>0.42719321999999998</v>
      </c>
      <c r="O394" s="187">
        <f t="shared" si="77"/>
        <v>4.4216709851715393E-2</v>
      </c>
      <c r="P394" s="188">
        <f t="shared" si="78"/>
        <v>7.221459984468544E+17</v>
      </c>
      <c r="Q394" s="187">
        <f t="shared" si="79"/>
        <v>13560</v>
      </c>
      <c r="R394" s="219">
        <f t="shared" si="80"/>
        <v>62.511600000000008</v>
      </c>
      <c r="S394" s="219">
        <f t="shared" si="81"/>
        <v>5.9664000000000001</v>
      </c>
      <c r="T394" s="219">
        <f t="shared" si="82"/>
        <v>228.6216</v>
      </c>
      <c r="U394" s="219">
        <f t="shared" si="83"/>
        <v>0.74797677346513158</v>
      </c>
      <c r="V394" s="188">
        <f t="shared" si="84"/>
        <v>2384948149814645</v>
      </c>
      <c r="W394" s="323">
        <v>2.7090000000000001</v>
      </c>
      <c r="X394" s="323">
        <v>2.202</v>
      </c>
      <c r="Y394" s="323">
        <v>0.70299999999999996</v>
      </c>
      <c r="Z394" s="323">
        <v>0.22600000000000001</v>
      </c>
      <c r="AA394" s="323">
        <v>44.96</v>
      </c>
      <c r="AB394" s="323">
        <v>23.36</v>
      </c>
      <c r="AC394" s="323">
        <v>10.3</v>
      </c>
      <c r="AD394" s="323">
        <v>4.6100000000000003</v>
      </c>
      <c r="AE394" s="323">
        <v>0.03</v>
      </c>
      <c r="AF394" s="323">
        <v>0.02</v>
      </c>
      <c r="AG394" s="323">
        <v>0.05</v>
      </c>
      <c r="AH394" s="323">
        <v>0.44</v>
      </c>
      <c r="AI394" s="323">
        <v>0.17</v>
      </c>
      <c r="AJ394" s="323">
        <v>0.19</v>
      </c>
      <c r="AK394" s="323">
        <v>2.09</v>
      </c>
      <c r="AL394" s="323">
        <v>16.86</v>
      </c>
      <c r="AM394" s="323">
        <v>1.3792414342428912E-3</v>
      </c>
      <c r="AN394" s="323">
        <v>1.5591878606120145E-3</v>
      </c>
      <c r="AO394" s="323">
        <v>8.4374720480637627E-2</v>
      </c>
      <c r="AP394" s="323">
        <v>3.4857290166026176E-3</v>
      </c>
      <c r="AQ394" s="323">
        <v>5.3789241434242893E-2</v>
      </c>
      <c r="AR394" s="323">
        <v>5.203918786061202E-2</v>
      </c>
      <c r="AS394" s="323">
        <v>0.1361472204806376</v>
      </c>
      <c r="AT394" s="323">
        <v>5.5160529016602622E-2</v>
      </c>
      <c r="AU394" s="190">
        <v>8699132361903.3594</v>
      </c>
      <c r="AV394" s="190">
        <v>9834087955733.6621</v>
      </c>
      <c r="AW394" s="190">
        <v>4257336493737650.5</v>
      </c>
      <c r="AX394" s="190">
        <v>175881131992230.47</v>
      </c>
      <c r="AY394" s="203">
        <v>15.3</v>
      </c>
      <c r="AZ394" s="239">
        <v>341.2</v>
      </c>
      <c r="BA394" s="203">
        <v>2009</v>
      </c>
      <c r="BB394" s="204">
        <v>41626</v>
      </c>
      <c r="BC394" s="203" t="s">
        <v>716</v>
      </c>
    </row>
    <row r="395" spans="1:55" x14ac:dyDescent="0.2">
      <c r="A395" s="184" t="s">
        <v>1730</v>
      </c>
      <c r="B395" s="184" t="s">
        <v>1729</v>
      </c>
      <c r="C395" s="184" t="s">
        <v>769</v>
      </c>
      <c r="D395" s="185" t="s">
        <v>1043</v>
      </c>
      <c r="E395" s="184" t="s">
        <v>1731</v>
      </c>
      <c r="F395" s="184" t="s">
        <v>1731</v>
      </c>
      <c r="G395" s="186">
        <f>IF(ALECA_Input!$F$13="ICAO (3000ft)",'Aircraft Calc'!C$211,'Aircraft Calc'!G$211)</f>
        <v>0.7</v>
      </c>
      <c r="H395" s="186">
        <f>IF(ALECA_Input!$F$13="ICAO (3000ft)",'Aircraft Calc'!D$211,'Aircraft Calc'!H$211)</f>
        <v>2.2000000000000002</v>
      </c>
      <c r="I395" s="186">
        <f>IF(ALECA_Input!$F$13="ICAO (3000ft)",'Aircraft Calc'!E$211,'Aircraft Calc'!I$211)</f>
        <v>4</v>
      </c>
      <c r="J395" s="189">
        <v>1</v>
      </c>
      <c r="K395" s="187">
        <f t="shared" si="73"/>
        <v>581.154</v>
      </c>
      <c r="L395" s="187">
        <f t="shared" si="74"/>
        <v>14.451346500000001</v>
      </c>
      <c r="M395" s="187">
        <f t="shared" si="75"/>
        <v>1.7898540000000001E-2</v>
      </c>
      <c r="N395" s="187">
        <f t="shared" si="76"/>
        <v>0.42208433999999995</v>
      </c>
      <c r="O395" s="187">
        <f t="shared" si="77"/>
        <v>4.4930307195000137E-2</v>
      </c>
      <c r="P395" s="188">
        <f t="shared" si="78"/>
        <v>7.3708746751588237E+17</v>
      </c>
      <c r="Q395" s="187">
        <f t="shared" si="79"/>
        <v>13620.000000000002</v>
      </c>
      <c r="R395" s="219">
        <f t="shared" si="80"/>
        <v>63.196800000000003</v>
      </c>
      <c r="S395" s="219">
        <f t="shared" si="81"/>
        <v>5.8566000000000003</v>
      </c>
      <c r="T395" s="219">
        <f t="shared" si="82"/>
        <v>226.50059999999999</v>
      </c>
      <c r="U395" s="219">
        <f t="shared" si="83"/>
        <v>0.75044605120612773</v>
      </c>
      <c r="V395" s="188">
        <f t="shared" si="84"/>
        <v>2395501017734179</v>
      </c>
      <c r="W395" s="323">
        <v>2.7530000000000001</v>
      </c>
      <c r="X395" s="323">
        <v>2.234</v>
      </c>
      <c r="Y395" s="323">
        <v>0.71099999999999997</v>
      </c>
      <c r="Z395" s="323">
        <v>0.22700000000000001</v>
      </c>
      <c r="AA395" s="323">
        <v>47.53</v>
      </c>
      <c r="AB395" s="323">
        <v>24.34</v>
      </c>
      <c r="AC395" s="323">
        <v>10.42</v>
      </c>
      <c r="AD395" s="323">
        <v>4.6399999999999997</v>
      </c>
      <c r="AE395" s="323">
        <v>0.03</v>
      </c>
      <c r="AF395" s="323">
        <v>0.02</v>
      </c>
      <c r="AG395" s="323">
        <v>0.05</v>
      </c>
      <c r="AH395" s="323">
        <v>0.43</v>
      </c>
      <c r="AI395" s="323">
        <v>0.17</v>
      </c>
      <c r="AJ395" s="323">
        <v>0.19</v>
      </c>
      <c r="AK395" s="323">
        <v>2.0299999999999998</v>
      </c>
      <c r="AL395" s="323">
        <v>16.63</v>
      </c>
      <c r="AM395" s="323">
        <v>1.3792414342428912E-3</v>
      </c>
      <c r="AN395" s="323">
        <v>1.5591878606120145E-3</v>
      </c>
      <c r="AO395" s="323">
        <v>8.5154013918683838E-2</v>
      </c>
      <c r="AP395" s="323">
        <v>3.4857290166026176E-3</v>
      </c>
      <c r="AQ395" s="323">
        <v>5.3789241434242893E-2</v>
      </c>
      <c r="AR395" s="323">
        <v>5.203918786061202E-2</v>
      </c>
      <c r="AS395" s="323">
        <v>0.13692651391868385</v>
      </c>
      <c r="AT395" s="323">
        <v>5.5098829016602617E-2</v>
      </c>
      <c r="AU395" s="190">
        <v>8699132361903.3594</v>
      </c>
      <c r="AV395" s="190">
        <v>9834087955733.6621</v>
      </c>
      <c r="AW395" s="190">
        <v>4296657683475823.5</v>
      </c>
      <c r="AX395" s="190">
        <v>175881131992230.47</v>
      </c>
      <c r="AY395" s="203">
        <v>16.100000000000001</v>
      </c>
      <c r="AZ395" s="239">
        <v>345.2</v>
      </c>
      <c r="BA395" s="203">
        <v>2009</v>
      </c>
      <c r="BB395" s="204">
        <v>41626</v>
      </c>
      <c r="BC395" s="203" t="s">
        <v>1712</v>
      </c>
    </row>
    <row r="396" spans="1:55" x14ac:dyDescent="0.2">
      <c r="A396" s="184" t="s">
        <v>1733</v>
      </c>
      <c r="B396" s="184" t="s">
        <v>1732</v>
      </c>
      <c r="C396" s="184" t="s">
        <v>769</v>
      </c>
      <c r="D396" s="185" t="s">
        <v>1043</v>
      </c>
      <c r="E396" s="184" t="s">
        <v>1734</v>
      </c>
      <c r="F396" s="184" t="s">
        <v>1734</v>
      </c>
      <c r="G396" s="186">
        <f>IF(ALECA_Input!$F$13="ICAO (3000ft)",'Aircraft Calc'!C$211,'Aircraft Calc'!G$211)</f>
        <v>0.7</v>
      </c>
      <c r="H396" s="186">
        <f>IF(ALECA_Input!$F$13="ICAO (3000ft)",'Aircraft Calc'!D$211,'Aircraft Calc'!H$211)</f>
        <v>2.2000000000000002</v>
      </c>
      <c r="I396" s="186">
        <f>IF(ALECA_Input!$F$13="ICAO (3000ft)",'Aircraft Calc'!E$211,'Aircraft Calc'!I$211)</f>
        <v>4</v>
      </c>
      <c r="J396" s="189">
        <v>1</v>
      </c>
      <c r="K396" s="187">
        <f t="shared" si="73"/>
        <v>410.56800000000004</v>
      </c>
      <c r="L396" s="187">
        <f t="shared" si="74"/>
        <v>4.8993379199999998</v>
      </c>
      <c r="M396" s="187">
        <f t="shared" si="75"/>
        <v>1.3270560000000001E-2</v>
      </c>
      <c r="N396" s="187">
        <f t="shared" si="76"/>
        <v>0.73554744000000005</v>
      </c>
      <c r="O396" s="187">
        <f t="shared" si="77"/>
        <v>2.1824915011340068E-2</v>
      </c>
      <c r="P396" s="188">
        <f t="shared" si="78"/>
        <v>1.9427124763494476E+16</v>
      </c>
      <c r="Q396" s="187">
        <f t="shared" si="79"/>
        <v>12180.000000000002</v>
      </c>
      <c r="R396" s="219">
        <f t="shared" si="80"/>
        <v>56.758800000000008</v>
      </c>
      <c r="S396" s="219">
        <f t="shared" si="81"/>
        <v>7.0644</v>
      </c>
      <c r="T396" s="219">
        <f t="shared" si="82"/>
        <v>199.63020000000003</v>
      </c>
      <c r="U396" s="219">
        <f t="shared" si="83"/>
        <v>0.68150889993327024</v>
      </c>
      <c r="V396" s="188">
        <f t="shared" si="84"/>
        <v>2098463975061638.5</v>
      </c>
      <c r="W396" s="323">
        <v>1.88</v>
      </c>
      <c r="X396" s="323">
        <v>1.554</v>
      </c>
      <c r="Y396" s="323">
        <v>0.52700000000000002</v>
      </c>
      <c r="Z396" s="323">
        <v>0.20300000000000001</v>
      </c>
      <c r="AA396" s="323">
        <v>17.22</v>
      </c>
      <c r="AB396" s="323">
        <v>11.54</v>
      </c>
      <c r="AC396" s="323">
        <v>9.27</v>
      </c>
      <c r="AD396" s="323">
        <v>4.66</v>
      </c>
      <c r="AE396" s="323">
        <v>0.02</v>
      </c>
      <c r="AF396" s="323">
        <v>0.02</v>
      </c>
      <c r="AG396" s="323">
        <v>0.06</v>
      </c>
      <c r="AH396" s="323">
        <v>0.57999999999999996</v>
      </c>
      <c r="AI396" s="323">
        <v>0.32</v>
      </c>
      <c r="AJ396" s="323">
        <v>1.73</v>
      </c>
      <c r="AK396" s="323">
        <v>2.81</v>
      </c>
      <c r="AL396" s="323">
        <v>16.39</v>
      </c>
      <c r="AM396" s="323">
        <v>1.5612854495621351E-3</v>
      </c>
      <c r="AN396" s="323">
        <v>1.7290628632008946E-3</v>
      </c>
      <c r="AO396" s="323">
        <v>2.5717494089181241E-3</v>
      </c>
      <c r="AP396" s="323">
        <v>3.4145116529778479E-3</v>
      </c>
      <c r="AQ396" s="323">
        <v>5.2821285449562133E-2</v>
      </c>
      <c r="AR396" s="323">
        <v>5.22090628632009E-2</v>
      </c>
      <c r="AS396" s="323">
        <v>5.4906749408918133E-2</v>
      </c>
      <c r="AT396" s="323">
        <v>5.5953111652977845E-2</v>
      </c>
      <c r="AU396" s="190">
        <v>9847317839541.4824</v>
      </c>
      <c r="AV396" s="190">
        <v>10905521205787.188</v>
      </c>
      <c r="AW396" s="190">
        <v>129764016389813.14</v>
      </c>
      <c r="AX396" s="190">
        <v>172287682681579.5</v>
      </c>
      <c r="AY396" s="203">
        <v>6.4</v>
      </c>
      <c r="AZ396" s="239">
        <v>255.3</v>
      </c>
      <c r="BA396" s="203">
        <v>2012</v>
      </c>
      <c r="BB396" s="204">
        <v>41943</v>
      </c>
      <c r="BC396" s="203" t="s">
        <v>716</v>
      </c>
    </row>
    <row r="397" spans="1:55" x14ac:dyDescent="0.2">
      <c r="A397" s="184" t="s">
        <v>1736</v>
      </c>
      <c r="B397" s="184" t="s">
        <v>1735</v>
      </c>
      <c r="C397" s="184" t="s">
        <v>769</v>
      </c>
      <c r="D397" s="185" t="s">
        <v>1043</v>
      </c>
      <c r="E397" s="184" t="s">
        <v>1737</v>
      </c>
      <c r="F397" s="184" t="s">
        <v>1737</v>
      </c>
      <c r="G397" s="186">
        <f>IF(ALECA_Input!$F$13="ICAO (3000ft)",'Aircraft Calc'!C$211,'Aircraft Calc'!G$211)</f>
        <v>0.7</v>
      </c>
      <c r="H397" s="186">
        <f>IF(ALECA_Input!$F$13="ICAO (3000ft)",'Aircraft Calc'!D$211,'Aircraft Calc'!H$211)</f>
        <v>2.2000000000000002</v>
      </c>
      <c r="I397" s="186">
        <f>IF(ALECA_Input!$F$13="ICAO (3000ft)",'Aircraft Calc'!E$211,'Aircraft Calc'!I$211)</f>
        <v>4</v>
      </c>
      <c r="J397" s="189">
        <v>1</v>
      </c>
      <c r="K397" s="187">
        <f t="shared" si="73"/>
        <v>439.06200000000001</v>
      </c>
      <c r="L397" s="187">
        <f t="shared" si="74"/>
        <v>5.9525972999999999</v>
      </c>
      <c r="M397" s="187">
        <f t="shared" si="75"/>
        <v>1.2798840000000002E-2</v>
      </c>
      <c r="N397" s="187">
        <f t="shared" si="76"/>
        <v>0.55753596000000005</v>
      </c>
      <c r="O397" s="187">
        <f t="shared" si="77"/>
        <v>2.3282224187814556E-2</v>
      </c>
      <c r="P397" s="188">
        <f t="shared" si="78"/>
        <v>2.1392654944715944E+16</v>
      </c>
      <c r="Q397" s="187">
        <f t="shared" si="79"/>
        <v>12180.000000000002</v>
      </c>
      <c r="R397" s="219">
        <f t="shared" si="80"/>
        <v>56.758800000000008</v>
      </c>
      <c r="S397" s="219">
        <f t="shared" si="81"/>
        <v>7.0644</v>
      </c>
      <c r="T397" s="219">
        <f t="shared" si="82"/>
        <v>199.63020000000003</v>
      </c>
      <c r="U397" s="219">
        <f t="shared" si="83"/>
        <v>0.68150889993327024</v>
      </c>
      <c r="V397" s="188">
        <f t="shared" si="84"/>
        <v>2098463975061638.5</v>
      </c>
      <c r="W397" s="323">
        <v>2.0230000000000001</v>
      </c>
      <c r="X397" s="323">
        <v>1.6679999999999999</v>
      </c>
      <c r="Y397" s="323">
        <v>0.55800000000000005</v>
      </c>
      <c r="Z397" s="323">
        <v>0.20300000000000001</v>
      </c>
      <c r="AA397" s="323">
        <v>20.43</v>
      </c>
      <c r="AB397" s="323">
        <v>13.27</v>
      </c>
      <c r="AC397" s="323">
        <v>9.67</v>
      </c>
      <c r="AD397" s="323">
        <v>4.66</v>
      </c>
      <c r="AE397" s="323">
        <v>0.02</v>
      </c>
      <c r="AF397" s="323">
        <v>0.02</v>
      </c>
      <c r="AG397" s="323">
        <v>0.05</v>
      </c>
      <c r="AH397" s="323">
        <v>0.57999999999999996</v>
      </c>
      <c r="AI397" s="323">
        <v>0.18</v>
      </c>
      <c r="AJ397" s="323">
        <v>0.93</v>
      </c>
      <c r="AK397" s="323">
        <v>2.52</v>
      </c>
      <c r="AL397" s="323">
        <v>16.39</v>
      </c>
      <c r="AM397" s="323">
        <v>1.5936545742793044E-3</v>
      </c>
      <c r="AN397" s="323">
        <v>1.7469394084875887E-3</v>
      </c>
      <c r="AO397" s="323">
        <v>2.6804716401820127E-3</v>
      </c>
      <c r="AP397" s="323">
        <v>3.4145116529778479E-3</v>
      </c>
      <c r="AQ397" s="323">
        <v>5.2853654574279312E-2</v>
      </c>
      <c r="AR397" s="323">
        <v>5.2226939408487591E-2</v>
      </c>
      <c r="AS397" s="323">
        <v>5.4452971640182021E-2</v>
      </c>
      <c r="AT397" s="323">
        <v>5.5953111652977845E-2</v>
      </c>
      <c r="AU397" s="190">
        <v>10051475932071.658</v>
      </c>
      <c r="AV397" s="190">
        <v>11018271903207.959</v>
      </c>
      <c r="AW397" s="190">
        <v>135249867130457.17</v>
      </c>
      <c r="AX397" s="190">
        <v>172287682681579.5</v>
      </c>
      <c r="AY397" s="203">
        <v>7.4</v>
      </c>
      <c r="AZ397" s="239">
        <v>271.3</v>
      </c>
      <c r="BA397" s="203">
        <v>2012</v>
      </c>
      <c r="BB397" s="204">
        <v>41943</v>
      </c>
      <c r="BC397" s="203" t="s">
        <v>716</v>
      </c>
    </row>
    <row r="398" spans="1:55" x14ac:dyDescent="0.2">
      <c r="A398" s="184" t="s">
        <v>1739</v>
      </c>
      <c r="B398" s="184" t="s">
        <v>1738</v>
      </c>
      <c r="C398" s="184" t="s">
        <v>769</v>
      </c>
      <c r="D398" s="185" t="s">
        <v>1043</v>
      </c>
      <c r="E398" s="184" t="s">
        <v>1740</v>
      </c>
      <c r="F398" s="184" t="s">
        <v>1740</v>
      </c>
      <c r="G398" s="186">
        <f>IF(ALECA_Input!$F$13="ICAO (3000ft)",'Aircraft Calc'!C$211,'Aircraft Calc'!G$211)</f>
        <v>0.7</v>
      </c>
      <c r="H398" s="186">
        <f>IF(ALECA_Input!$F$13="ICAO (3000ft)",'Aircraft Calc'!D$211,'Aircraft Calc'!H$211)</f>
        <v>2.2000000000000002</v>
      </c>
      <c r="I398" s="186">
        <f>IF(ALECA_Input!$F$13="ICAO (3000ft)",'Aircraft Calc'!E$211,'Aircraft Calc'!I$211)</f>
        <v>4</v>
      </c>
      <c r="J398" s="189">
        <v>1</v>
      </c>
      <c r="K398" s="187">
        <f t="shared" si="73"/>
        <v>487.54200000000003</v>
      </c>
      <c r="L398" s="187">
        <f t="shared" si="74"/>
        <v>8.2513249200000001</v>
      </c>
      <c r="M398" s="187">
        <f t="shared" si="75"/>
        <v>1.413564E-2</v>
      </c>
      <c r="N398" s="187">
        <f t="shared" si="76"/>
        <v>0.40060097999999994</v>
      </c>
      <c r="O398" s="187">
        <f t="shared" si="77"/>
        <v>2.5889216905626171E-2</v>
      </c>
      <c r="P398" s="188">
        <f t="shared" si="78"/>
        <v>2.5181413229698624E+16</v>
      </c>
      <c r="Q398" s="187">
        <f t="shared" si="79"/>
        <v>12239.999999999998</v>
      </c>
      <c r="R398" s="219">
        <f t="shared" si="80"/>
        <v>57.4056</v>
      </c>
      <c r="S398" s="219">
        <f t="shared" si="81"/>
        <v>6.8544</v>
      </c>
      <c r="T398" s="219">
        <f t="shared" si="82"/>
        <v>197.43119999999996</v>
      </c>
      <c r="U398" s="219">
        <f t="shared" si="83"/>
        <v>0.68335567063244884</v>
      </c>
      <c r="V398" s="188">
        <f t="shared" si="84"/>
        <v>2108801236022532.8</v>
      </c>
      <c r="W398" s="323">
        <v>2.2730000000000001</v>
      </c>
      <c r="X398" s="323">
        <v>1.863</v>
      </c>
      <c r="Y398" s="323">
        <v>0.60899999999999999</v>
      </c>
      <c r="Z398" s="323">
        <v>0.20399999999999999</v>
      </c>
      <c r="AA398" s="323">
        <v>27.12</v>
      </c>
      <c r="AB398" s="323">
        <v>16.850000000000001</v>
      </c>
      <c r="AC398" s="323">
        <v>10.39</v>
      </c>
      <c r="AD398" s="323">
        <v>4.6900000000000004</v>
      </c>
      <c r="AE398" s="323">
        <v>0.02</v>
      </c>
      <c r="AF398" s="323">
        <v>0.02</v>
      </c>
      <c r="AG398" s="323">
        <v>0.05</v>
      </c>
      <c r="AH398" s="323">
        <v>0.56000000000000005</v>
      </c>
      <c r="AI398" s="323">
        <v>0.09</v>
      </c>
      <c r="AJ398" s="323">
        <v>0.34</v>
      </c>
      <c r="AK398" s="323">
        <v>2.11</v>
      </c>
      <c r="AL398" s="323">
        <v>16.13</v>
      </c>
      <c r="AM398" s="323">
        <v>1.6266278338922242E-3</v>
      </c>
      <c r="AN398" s="323">
        <v>1.7649827357773195E-3</v>
      </c>
      <c r="AO398" s="323">
        <v>2.9104838422577867E-3</v>
      </c>
      <c r="AP398" s="323">
        <v>3.4145116529778479E-3</v>
      </c>
      <c r="AQ398" s="323">
        <v>5.2886627833892225E-2</v>
      </c>
      <c r="AR398" s="323">
        <v>5.2244982735777323E-2</v>
      </c>
      <c r="AS398" s="323">
        <v>5.4682983842257789E-2</v>
      </c>
      <c r="AT398" s="323">
        <v>5.5829711652977849E-2</v>
      </c>
      <c r="AU398" s="190">
        <v>10259444415801.012</v>
      </c>
      <c r="AV398" s="190">
        <v>11132074525755.092</v>
      </c>
      <c r="AW398" s="190">
        <v>146855705186262.84</v>
      </c>
      <c r="AX398" s="190">
        <v>172287682681579.5</v>
      </c>
      <c r="AY398" s="203">
        <v>9.6999999999999993</v>
      </c>
      <c r="AZ398" s="239">
        <v>298</v>
      </c>
      <c r="BA398" s="203">
        <v>2012</v>
      </c>
      <c r="BB398" s="204">
        <v>41943</v>
      </c>
      <c r="BC398" s="203" t="s">
        <v>716</v>
      </c>
    </row>
    <row r="399" spans="1:55" x14ac:dyDescent="0.2">
      <c r="A399" s="184" t="s">
        <v>1742</v>
      </c>
      <c r="B399" s="184" t="s">
        <v>1741</v>
      </c>
      <c r="C399" s="184" t="s">
        <v>769</v>
      </c>
      <c r="D399" s="185" t="s">
        <v>1043</v>
      </c>
      <c r="E399" s="184" t="s">
        <v>1743</v>
      </c>
      <c r="F399" s="184" t="s">
        <v>1743</v>
      </c>
      <c r="G399" s="186">
        <f>IF(ALECA_Input!$F$13="ICAO (3000ft)",'Aircraft Calc'!C$211,'Aircraft Calc'!G$211)</f>
        <v>0.7</v>
      </c>
      <c r="H399" s="186">
        <f>IF(ALECA_Input!$F$13="ICAO (3000ft)",'Aircraft Calc'!D$211,'Aircraft Calc'!H$211)</f>
        <v>2.2000000000000002</v>
      </c>
      <c r="I399" s="186">
        <f>IF(ALECA_Input!$F$13="ICAO (3000ft)",'Aircraft Calc'!E$211,'Aircraft Calc'!I$211)</f>
        <v>4</v>
      </c>
      <c r="J399" s="189">
        <v>1</v>
      </c>
      <c r="K399" s="187">
        <f t="shared" si="73"/>
        <v>507.22799999999995</v>
      </c>
      <c r="L399" s="187">
        <f t="shared" si="74"/>
        <v>9.3991959600000001</v>
      </c>
      <c r="M399" s="187">
        <f t="shared" si="75"/>
        <v>1.4673360000000002E-2</v>
      </c>
      <c r="N399" s="187">
        <f t="shared" si="76"/>
        <v>0.3669288</v>
      </c>
      <c r="O399" s="187">
        <f t="shared" si="77"/>
        <v>2.6966287603456159E-2</v>
      </c>
      <c r="P399" s="188">
        <f t="shared" si="78"/>
        <v>2.7280746502983968E+16</v>
      </c>
      <c r="Q399" s="187">
        <f t="shared" si="79"/>
        <v>12540</v>
      </c>
      <c r="R399" s="219">
        <f t="shared" si="80"/>
        <v>59.690399999999997</v>
      </c>
      <c r="S399" s="219">
        <f t="shared" si="81"/>
        <v>6.27</v>
      </c>
      <c r="T399" s="219">
        <f t="shared" si="82"/>
        <v>194.24459999999999</v>
      </c>
      <c r="U399" s="219">
        <f t="shared" si="83"/>
        <v>0.69546227612834222</v>
      </c>
      <c r="V399" s="188">
        <f t="shared" si="84"/>
        <v>2160487540827006.8</v>
      </c>
      <c r="W399" s="323">
        <v>2.3759999999999999</v>
      </c>
      <c r="X399" s="323">
        <v>1.9430000000000001</v>
      </c>
      <c r="Y399" s="323">
        <v>0.629</v>
      </c>
      <c r="Z399" s="323">
        <v>0.20899999999999999</v>
      </c>
      <c r="AA399" s="323">
        <v>30.32</v>
      </c>
      <c r="AB399" s="323">
        <v>18.57</v>
      </c>
      <c r="AC399" s="323">
        <v>10.67</v>
      </c>
      <c r="AD399" s="323">
        <v>4.76</v>
      </c>
      <c r="AE399" s="323">
        <v>0.02</v>
      </c>
      <c r="AF399" s="323">
        <v>0.02</v>
      </c>
      <c r="AG399" s="323">
        <v>0.05</v>
      </c>
      <c r="AH399" s="323">
        <v>0.5</v>
      </c>
      <c r="AI399" s="323">
        <v>0.08</v>
      </c>
      <c r="AJ399" s="323">
        <v>0.24</v>
      </c>
      <c r="AK399" s="323">
        <v>1.97</v>
      </c>
      <c r="AL399" s="323">
        <v>15.49</v>
      </c>
      <c r="AM399" s="323">
        <v>1.6433439700858253E-3</v>
      </c>
      <c r="AN399" s="323">
        <v>1.8015749850127489E-3</v>
      </c>
      <c r="AO399" s="323">
        <v>3.0631377592555981E-3</v>
      </c>
      <c r="AP399" s="323">
        <v>3.4145116529778479E-3</v>
      </c>
      <c r="AQ399" s="323">
        <v>5.2903343970085823E-2</v>
      </c>
      <c r="AR399" s="323">
        <v>5.2281574985012756E-2</v>
      </c>
      <c r="AS399" s="323">
        <v>5.4835637759255595E-2</v>
      </c>
      <c r="AT399" s="323">
        <v>5.5459511652977855E-2</v>
      </c>
      <c r="AU399" s="190">
        <v>10364876197153.754</v>
      </c>
      <c r="AV399" s="190">
        <v>11362868650420.795</v>
      </c>
      <c r="AW399" s="190">
        <v>154558238457421</v>
      </c>
      <c r="AX399" s="190">
        <v>172287682681579.5</v>
      </c>
      <c r="AY399" s="203">
        <v>11</v>
      </c>
      <c r="AZ399" s="239">
        <v>308.7</v>
      </c>
      <c r="BA399" s="203">
        <v>2012</v>
      </c>
      <c r="BB399" s="204">
        <v>41943</v>
      </c>
      <c r="BC399" s="203" t="s">
        <v>716</v>
      </c>
    </row>
    <row r="400" spans="1:55" x14ac:dyDescent="0.2">
      <c r="A400" s="184" t="s">
        <v>1745</v>
      </c>
      <c r="B400" s="184" t="s">
        <v>1744</v>
      </c>
      <c r="C400" s="184" t="s">
        <v>769</v>
      </c>
      <c r="D400" s="185" t="s">
        <v>1043</v>
      </c>
      <c r="E400" s="184" t="s">
        <v>1746</v>
      </c>
      <c r="F400" s="184" t="s">
        <v>1746</v>
      </c>
      <c r="G400" s="186">
        <f>IF(ALECA_Input!$F$13="ICAO (3000ft)",'Aircraft Calc'!C$211,'Aircraft Calc'!G$211)</f>
        <v>0.7</v>
      </c>
      <c r="H400" s="186">
        <f>IF(ALECA_Input!$F$13="ICAO (3000ft)",'Aircraft Calc'!D$211,'Aircraft Calc'!H$211)</f>
        <v>2.2000000000000002</v>
      </c>
      <c r="I400" s="186">
        <f>IF(ALECA_Input!$F$13="ICAO (3000ft)",'Aircraft Calc'!E$211,'Aircraft Calc'!I$211)</f>
        <v>4</v>
      </c>
      <c r="J400" s="189">
        <v>1</v>
      </c>
      <c r="K400" s="187">
        <f t="shared" si="73"/>
        <v>531.67200000000003</v>
      </c>
      <c r="L400" s="187">
        <f t="shared" si="74"/>
        <v>11.011773840000002</v>
      </c>
      <c r="M400" s="187">
        <f t="shared" si="75"/>
        <v>1.534224E-2</v>
      </c>
      <c r="N400" s="187">
        <f t="shared" si="76"/>
        <v>0.33779976000000006</v>
      </c>
      <c r="O400" s="187">
        <f t="shared" si="77"/>
        <v>2.8299942060998305E-2</v>
      </c>
      <c r="P400" s="188">
        <f t="shared" si="78"/>
        <v>2.9980967619232476E+16</v>
      </c>
      <c r="Q400" s="187">
        <f t="shared" si="79"/>
        <v>12780</v>
      </c>
      <c r="R400" s="219">
        <f t="shared" si="80"/>
        <v>61.98299999999999</v>
      </c>
      <c r="S400" s="219">
        <f t="shared" si="81"/>
        <v>5.6231999999999998</v>
      </c>
      <c r="T400" s="219">
        <f t="shared" si="82"/>
        <v>188.88839999999999</v>
      </c>
      <c r="U400" s="219">
        <f t="shared" si="83"/>
        <v>0.7040414029250569</v>
      </c>
      <c r="V400" s="188">
        <f t="shared" si="84"/>
        <v>2201836584670586</v>
      </c>
      <c r="W400" s="323">
        <v>2.504</v>
      </c>
      <c r="X400" s="323">
        <v>2.0419999999999998</v>
      </c>
      <c r="Y400" s="323">
        <v>0.65400000000000003</v>
      </c>
      <c r="Z400" s="323">
        <v>0.21299999999999999</v>
      </c>
      <c r="AA400" s="323">
        <v>34.770000000000003</v>
      </c>
      <c r="AB400" s="323">
        <v>20.87</v>
      </c>
      <c r="AC400" s="323">
        <v>11.02</v>
      </c>
      <c r="AD400" s="323">
        <v>4.8499999999999996</v>
      </c>
      <c r="AE400" s="323">
        <v>0.02</v>
      </c>
      <c r="AF400" s="323">
        <v>0.02</v>
      </c>
      <c r="AG400" s="323">
        <v>0.05</v>
      </c>
      <c r="AH400" s="323">
        <v>0.44</v>
      </c>
      <c r="AI400" s="323">
        <v>0.06</v>
      </c>
      <c r="AJ400" s="323">
        <v>0.17</v>
      </c>
      <c r="AK400" s="323">
        <v>1.82</v>
      </c>
      <c r="AL400" s="323">
        <v>14.78</v>
      </c>
      <c r="AM400" s="323">
        <v>1.6602147015536068E-3</v>
      </c>
      <c r="AN400" s="323">
        <v>1.820126551511269E-3</v>
      </c>
      <c r="AO400" s="323">
        <v>3.2558104616765954E-3</v>
      </c>
      <c r="AP400" s="323">
        <v>3.4145116529778479E-3</v>
      </c>
      <c r="AQ400" s="323">
        <v>5.2920214701553614E-2</v>
      </c>
      <c r="AR400" s="323">
        <v>5.230012655151127E-2</v>
      </c>
      <c r="AS400" s="323">
        <v>5.5028310461676597E-2</v>
      </c>
      <c r="AT400" s="323">
        <v>5.5089311652977854E-2</v>
      </c>
      <c r="AU400" s="190">
        <v>10471283039666.371</v>
      </c>
      <c r="AV400" s="190">
        <v>11479876832226.082</v>
      </c>
      <c r="AW400" s="190">
        <v>164280019136412.44</v>
      </c>
      <c r="AX400" s="190">
        <v>172287682681579.5</v>
      </c>
      <c r="AY400" s="203">
        <v>12.6</v>
      </c>
      <c r="AZ400" s="239">
        <v>321.60000000000002</v>
      </c>
      <c r="BA400" s="203">
        <v>2012</v>
      </c>
      <c r="BB400" s="204">
        <v>41943</v>
      </c>
      <c r="BC400" s="203" t="s">
        <v>716</v>
      </c>
    </row>
    <row r="401" spans="1:55" x14ac:dyDescent="0.2">
      <c r="A401" s="184" t="s">
        <v>1748</v>
      </c>
      <c r="B401" s="184" t="s">
        <v>1747</v>
      </c>
      <c r="C401" s="184" t="s">
        <v>769</v>
      </c>
      <c r="D401" s="185" t="s">
        <v>1043</v>
      </c>
      <c r="E401" s="184" t="s">
        <v>1749</v>
      </c>
      <c r="F401" s="184" t="s">
        <v>1749</v>
      </c>
      <c r="G401" s="186">
        <f>IF(ALECA_Input!$F$13="ICAO (3000ft)",'Aircraft Calc'!C$211,'Aircraft Calc'!G$211)</f>
        <v>0.7</v>
      </c>
      <c r="H401" s="186">
        <f>IF(ALECA_Input!$F$13="ICAO (3000ft)",'Aircraft Calc'!D$211,'Aircraft Calc'!H$211)</f>
        <v>2.2000000000000002</v>
      </c>
      <c r="I401" s="186">
        <f>IF(ALECA_Input!$F$13="ICAO (3000ft)",'Aircraft Calc'!E$211,'Aircraft Calc'!I$211)</f>
        <v>4</v>
      </c>
      <c r="J401" s="189">
        <v>1</v>
      </c>
      <c r="K401" s="187">
        <f t="shared" si="73"/>
        <v>531.67200000000003</v>
      </c>
      <c r="L401" s="187">
        <f t="shared" si="74"/>
        <v>11.011773840000002</v>
      </c>
      <c r="M401" s="187">
        <f t="shared" si="75"/>
        <v>1.534224E-2</v>
      </c>
      <c r="N401" s="187">
        <f t="shared" si="76"/>
        <v>0.33779976000000006</v>
      </c>
      <c r="O401" s="187">
        <f t="shared" si="77"/>
        <v>2.8299942060998305E-2</v>
      </c>
      <c r="P401" s="188">
        <f t="shared" si="78"/>
        <v>2.9980967619232476E+16</v>
      </c>
      <c r="Q401" s="187">
        <f t="shared" si="79"/>
        <v>12780</v>
      </c>
      <c r="R401" s="219">
        <f t="shared" si="80"/>
        <v>61.98299999999999</v>
      </c>
      <c r="S401" s="219">
        <f t="shared" si="81"/>
        <v>5.6231999999999998</v>
      </c>
      <c r="T401" s="219">
        <f t="shared" si="82"/>
        <v>188.88839999999999</v>
      </c>
      <c r="U401" s="219">
        <f t="shared" si="83"/>
        <v>0.7040414029250569</v>
      </c>
      <c r="V401" s="188">
        <f t="shared" si="84"/>
        <v>2201836584670586</v>
      </c>
      <c r="W401" s="323">
        <v>2.504</v>
      </c>
      <c r="X401" s="323">
        <v>2.0419999999999998</v>
      </c>
      <c r="Y401" s="323">
        <v>0.65400000000000003</v>
      </c>
      <c r="Z401" s="323">
        <v>0.21299999999999999</v>
      </c>
      <c r="AA401" s="323">
        <v>34.770000000000003</v>
      </c>
      <c r="AB401" s="323">
        <v>20.87</v>
      </c>
      <c r="AC401" s="323">
        <v>11.02</v>
      </c>
      <c r="AD401" s="323">
        <v>4.8499999999999996</v>
      </c>
      <c r="AE401" s="323">
        <v>0.02</v>
      </c>
      <c r="AF401" s="323">
        <v>0.02</v>
      </c>
      <c r="AG401" s="323">
        <v>0.05</v>
      </c>
      <c r="AH401" s="323">
        <v>0.44</v>
      </c>
      <c r="AI401" s="323">
        <v>0.06</v>
      </c>
      <c r="AJ401" s="323">
        <v>0.17</v>
      </c>
      <c r="AK401" s="323">
        <v>1.82</v>
      </c>
      <c r="AL401" s="323">
        <v>14.78</v>
      </c>
      <c r="AM401" s="323">
        <v>1.6602147015536068E-3</v>
      </c>
      <c r="AN401" s="323">
        <v>1.820126551511269E-3</v>
      </c>
      <c r="AO401" s="323">
        <v>3.2558104616765954E-3</v>
      </c>
      <c r="AP401" s="323">
        <v>3.4145116529778479E-3</v>
      </c>
      <c r="AQ401" s="323">
        <v>5.2920214701553614E-2</v>
      </c>
      <c r="AR401" s="323">
        <v>5.230012655151127E-2</v>
      </c>
      <c r="AS401" s="323">
        <v>5.5028310461676597E-2</v>
      </c>
      <c r="AT401" s="323">
        <v>5.5089311652977854E-2</v>
      </c>
      <c r="AU401" s="190">
        <v>10471283039666.371</v>
      </c>
      <c r="AV401" s="190">
        <v>11479876832226.082</v>
      </c>
      <c r="AW401" s="190">
        <v>164280019136412.44</v>
      </c>
      <c r="AX401" s="190">
        <v>172287682681579.5</v>
      </c>
      <c r="AY401" s="203">
        <v>12.6</v>
      </c>
      <c r="AZ401" s="239">
        <v>321.60000000000002</v>
      </c>
      <c r="BA401" s="203">
        <v>2012</v>
      </c>
      <c r="BB401" s="204">
        <v>41943</v>
      </c>
      <c r="BC401" s="203" t="s">
        <v>716</v>
      </c>
    </row>
    <row r="402" spans="1:55" x14ac:dyDescent="0.2">
      <c r="A402" s="184" t="s">
        <v>1751</v>
      </c>
      <c r="B402" s="184" t="s">
        <v>1750</v>
      </c>
      <c r="C402" s="184" t="s">
        <v>769</v>
      </c>
      <c r="D402" s="185" t="s">
        <v>1043</v>
      </c>
      <c r="E402" s="184" t="s">
        <v>1752</v>
      </c>
      <c r="F402" s="184" t="s">
        <v>1752</v>
      </c>
      <c r="G402" s="186">
        <f>IF(ALECA_Input!$F$13="ICAO (3000ft)",'Aircraft Calc'!C$211,'Aircraft Calc'!G$211)</f>
        <v>0.7</v>
      </c>
      <c r="H402" s="186">
        <f>IF(ALECA_Input!$F$13="ICAO (3000ft)",'Aircraft Calc'!D$211,'Aircraft Calc'!H$211)</f>
        <v>2.2000000000000002</v>
      </c>
      <c r="I402" s="186">
        <f>IF(ALECA_Input!$F$13="ICAO (3000ft)",'Aircraft Calc'!E$211,'Aircraft Calc'!I$211)</f>
        <v>4</v>
      </c>
      <c r="J402" s="189">
        <v>1</v>
      </c>
      <c r="K402" s="187">
        <f t="shared" si="73"/>
        <v>531.67200000000003</v>
      </c>
      <c r="L402" s="187">
        <f t="shared" si="74"/>
        <v>11.011773840000002</v>
      </c>
      <c r="M402" s="187">
        <f t="shared" si="75"/>
        <v>1.534224E-2</v>
      </c>
      <c r="N402" s="187">
        <f t="shared" si="76"/>
        <v>0.33779976000000006</v>
      </c>
      <c r="O402" s="187">
        <f t="shared" si="77"/>
        <v>2.8299942060998305E-2</v>
      </c>
      <c r="P402" s="188">
        <f t="shared" si="78"/>
        <v>2.9980967619232476E+16</v>
      </c>
      <c r="Q402" s="187">
        <f t="shared" si="79"/>
        <v>12780</v>
      </c>
      <c r="R402" s="219">
        <f t="shared" si="80"/>
        <v>61.98299999999999</v>
      </c>
      <c r="S402" s="219">
        <f t="shared" si="81"/>
        <v>5.6231999999999998</v>
      </c>
      <c r="T402" s="219">
        <f t="shared" si="82"/>
        <v>188.88839999999999</v>
      </c>
      <c r="U402" s="219">
        <f t="shared" si="83"/>
        <v>0.7040414029250569</v>
      </c>
      <c r="V402" s="188">
        <f t="shared" si="84"/>
        <v>2201836584670586</v>
      </c>
      <c r="W402" s="323">
        <v>2.504</v>
      </c>
      <c r="X402" s="323">
        <v>2.0419999999999998</v>
      </c>
      <c r="Y402" s="323">
        <v>0.65400000000000003</v>
      </c>
      <c r="Z402" s="323">
        <v>0.21299999999999999</v>
      </c>
      <c r="AA402" s="323">
        <v>34.770000000000003</v>
      </c>
      <c r="AB402" s="323">
        <v>20.87</v>
      </c>
      <c r="AC402" s="323">
        <v>11.02</v>
      </c>
      <c r="AD402" s="323">
        <v>4.8499999999999996</v>
      </c>
      <c r="AE402" s="323">
        <v>0.02</v>
      </c>
      <c r="AF402" s="323">
        <v>0.02</v>
      </c>
      <c r="AG402" s="323">
        <v>0.05</v>
      </c>
      <c r="AH402" s="323">
        <v>0.44</v>
      </c>
      <c r="AI402" s="323">
        <v>0.06</v>
      </c>
      <c r="AJ402" s="323">
        <v>0.17</v>
      </c>
      <c r="AK402" s="323">
        <v>1.82</v>
      </c>
      <c r="AL402" s="323">
        <v>14.78</v>
      </c>
      <c r="AM402" s="323">
        <v>1.6602147015536068E-3</v>
      </c>
      <c r="AN402" s="323">
        <v>1.820126551511269E-3</v>
      </c>
      <c r="AO402" s="323">
        <v>3.2558104616765954E-3</v>
      </c>
      <c r="AP402" s="323">
        <v>3.4145116529778479E-3</v>
      </c>
      <c r="AQ402" s="323">
        <v>5.2920214701553614E-2</v>
      </c>
      <c r="AR402" s="323">
        <v>5.230012655151127E-2</v>
      </c>
      <c r="AS402" s="323">
        <v>5.5028310461676597E-2</v>
      </c>
      <c r="AT402" s="323">
        <v>5.5089311652977854E-2</v>
      </c>
      <c r="AU402" s="190">
        <v>10471283039666.371</v>
      </c>
      <c r="AV402" s="190">
        <v>11479876832226.082</v>
      </c>
      <c r="AW402" s="190">
        <v>164280019136412.44</v>
      </c>
      <c r="AX402" s="190">
        <v>172287682681579.5</v>
      </c>
      <c r="AY402" s="203">
        <v>12.6</v>
      </c>
      <c r="AZ402" s="239">
        <v>321.60000000000002</v>
      </c>
      <c r="BA402" s="203">
        <v>2012</v>
      </c>
      <c r="BB402" s="204">
        <v>41943</v>
      </c>
      <c r="BC402" s="203" t="s">
        <v>716</v>
      </c>
    </row>
    <row r="403" spans="1:55" x14ac:dyDescent="0.2">
      <c r="A403" s="184" t="s">
        <v>1754</v>
      </c>
      <c r="B403" s="184" t="s">
        <v>1753</v>
      </c>
      <c r="C403" s="184" t="s">
        <v>769</v>
      </c>
      <c r="D403" s="185" t="s">
        <v>1043</v>
      </c>
      <c r="E403" s="184" t="s">
        <v>1755</v>
      </c>
      <c r="F403" s="184" t="s">
        <v>1755</v>
      </c>
      <c r="G403" s="186">
        <f>IF(ALECA_Input!$F$13="ICAO (3000ft)",'Aircraft Calc'!C$211,'Aircraft Calc'!G$211)</f>
        <v>0.7</v>
      </c>
      <c r="H403" s="186">
        <f>IF(ALECA_Input!$F$13="ICAO (3000ft)",'Aircraft Calc'!D$211,'Aircraft Calc'!H$211)</f>
        <v>2.2000000000000002</v>
      </c>
      <c r="I403" s="186">
        <f>IF(ALECA_Input!$F$13="ICAO (3000ft)",'Aircraft Calc'!E$211,'Aircraft Calc'!I$211)</f>
        <v>4</v>
      </c>
      <c r="J403" s="189">
        <v>1</v>
      </c>
      <c r="K403" s="187">
        <f t="shared" si="73"/>
        <v>569.76</v>
      </c>
      <c r="L403" s="187">
        <f t="shared" si="74"/>
        <v>13.99096128</v>
      </c>
      <c r="M403" s="187">
        <f t="shared" si="75"/>
        <v>1.4721600000000003E-2</v>
      </c>
      <c r="N403" s="187">
        <f t="shared" si="76"/>
        <v>0.30533951999999998</v>
      </c>
      <c r="O403" s="187">
        <f t="shared" si="77"/>
        <v>3.0249528739397371E-2</v>
      </c>
      <c r="P403" s="188">
        <f t="shared" si="78"/>
        <v>3.2457618985081012E+16</v>
      </c>
      <c r="Q403" s="187">
        <f t="shared" si="79"/>
        <v>13260</v>
      </c>
      <c r="R403" s="219">
        <f t="shared" si="80"/>
        <v>66.167400000000001</v>
      </c>
      <c r="S403" s="219">
        <f t="shared" si="81"/>
        <v>5.0388000000000002</v>
      </c>
      <c r="T403" s="219">
        <f t="shared" si="82"/>
        <v>182.988</v>
      </c>
      <c r="U403" s="219">
        <f t="shared" si="83"/>
        <v>0.72604538647004835</v>
      </c>
      <c r="V403" s="188">
        <f t="shared" si="84"/>
        <v>2308247973984134.5</v>
      </c>
      <c r="W403" s="323">
        <v>2.7040000000000002</v>
      </c>
      <c r="X403" s="323">
        <v>2.1960000000000002</v>
      </c>
      <c r="Y403" s="323">
        <v>0.69299999999999995</v>
      </c>
      <c r="Z403" s="323">
        <v>0.221</v>
      </c>
      <c r="AA403" s="323">
        <v>42.71</v>
      </c>
      <c r="AB403" s="323">
        <v>24.9</v>
      </c>
      <c r="AC403" s="323">
        <v>11.56</v>
      </c>
      <c r="AD403" s="323">
        <v>4.99</v>
      </c>
      <c r="AE403" s="323">
        <v>0.02</v>
      </c>
      <c r="AF403" s="323">
        <v>0.02</v>
      </c>
      <c r="AG403" s="323">
        <v>0.04</v>
      </c>
      <c r="AH403" s="323">
        <v>0.38</v>
      </c>
      <c r="AI403" s="323">
        <v>0.05</v>
      </c>
      <c r="AJ403" s="323">
        <v>0.11</v>
      </c>
      <c r="AK403" s="323">
        <v>1.61</v>
      </c>
      <c r="AL403" s="323">
        <v>13.8</v>
      </c>
      <c r="AM403" s="323">
        <v>1.6944247675704615E-3</v>
      </c>
      <c r="AN403" s="323">
        <v>1.8388501892205565E-3</v>
      </c>
      <c r="AO403" s="323">
        <v>3.3224127305446112E-3</v>
      </c>
      <c r="AP403" s="323">
        <v>3.4499540324320083E-3</v>
      </c>
      <c r="AQ403" s="323">
        <v>5.2954424767570459E-2</v>
      </c>
      <c r="AR403" s="323">
        <v>5.2318850189220556E-2</v>
      </c>
      <c r="AS403" s="323">
        <v>5.4532412730544613E-2</v>
      </c>
      <c r="AT403" s="323">
        <v>5.4754554032432005E-2</v>
      </c>
      <c r="AU403" s="190">
        <v>10687052291518.518</v>
      </c>
      <c r="AV403" s="190">
        <v>11597970299175.057</v>
      </c>
      <c r="AW403" s="190">
        <v>167640602356153</v>
      </c>
      <c r="AX403" s="190">
        <v>174076016137566.72</v>
      </c>
      <c r="AY403" s="203">
        <v>15.7</v>
      </c>
      <c r="AZ403" s="239">
        <v>341.2</v>
      </c>
      <c r="BA403" s="203">
        <v>2012</v>
      </c>
      <c r="BB403" s="204">
        <v>41943</v>
      </c>
      <c r="BC403" s="203" t="s">
        <v>716</v>
      </c>
    </row>
    <row r="404" spans="1:55" x14ac:dyDescent="0.2">
      <c r="A404" s="184" t="s">
        <v>1757</v>
      </c>
      <c r="B404" s="184" t="s">
        <v>1756</v>
      </c>
      <c r="C404" s="184" t="s">
        <v>769</v>
      </c>
      <c r="D404" s="185" t="s">
        <v>1043</v>
      </c>
      <c r="E404" s="184" t="s">
        <v>1758</v>
      </c>
      <c r="F404" s="184" t="s">
        <v>1758</v>
      </c>
      <c r="G404" s="186">
        <f>IF(ALECA_Input!$F$13="ICAO (3000ft)",'Aircraft Calc'!C$211,'Aircraft Calc'!G$211)</f>
        <v>0.7</v>
      </c>
      <c r="H404" s="186">
        <f>IF(ALECA_Input!$F$13="ICAO (3000ft)",'Aircraft Calc'!D$211,'Aircraft Calc'!H$211)</f>
        <v>2.2000000000000002</v>
      </c>
      <c r="I404" s="186">
        <f>IF(ALECA_Input!$F$13="ICAO (3000ft)",'Aircraft Calc'!E$211,'Aircraft Calc'!I$211)</f>
        <v>4</v>
      </c>
      <c r="J404" s="189">
        <v>1</v>
      </c>
      <c r="K404" s="187">
        <f t="shared" si="73"/>
        <v>577.79999999999995</v>
      </c>
      <c r="L404" s="187">
        <f t="shared" si="74"/>
        <v>14.708230560000001</v>
      </c>
      <c r="M404" s="187">
        <f t="shared" si="75"/>
        <v>1.6074120000000001E-2</v>
      </c>
      <c r="N404" s="187">
        <f t="shared" si="76"/>
        <v>0.29932619999999999</v>
      </c>
      <c r="O404" s="187">
        <f t="shared" si="77"/>
        <v>3.0886153473641216E-2</v>
      </c>
      <c r="P404" s="188">
        <f t="shared" si="78"/>
        <v>3.6783445042733008E+16</v>
      </c>
      <c r="Q404" s="187">
        <f t="shared" si="79"/>
        <v>13320</v>
      </c>
      <c r="R404" s="219">
        <f t="shared" si="80"/>
        <v>66.733199999999997</v>
      </c>
      <c r="S404" s="219">
        <f t="shared" si="81"/>
        <v>4.9283999999999999</v>
      </c>
      <c r="T404" s="219">
        <f t="shared" si="82"/>
        <v>181.41839999999999</v>
      </c>
      <c r="U404" s="219">
        <f t="shared" si="83"/>
        <v>0.72850881571199433</v>
      </c>
      <c r="V404" s="188">
        <f t="shared" si="84"/>
        <v>2318692534952388.5</v>
      </c>
      <c r="W404" s="323">
        <v>2.746</v>
      </c>
      <c r="X404" s="323">
        <v>2.2290000000000001</v>
      </c>
      <c r="Y404" s="323">
        <v>0.70099999999999996</v>
      </c>
      <c r="Z404" s="323">
        <v>0.222</v>
      </c>
      <c r="AA404" s="323">
        <v>44.61</v>
      </c>
      <c r="AB404" s="323">
        <v>25.83</v>
      </c>
      <c r="AC404" s="323">
        <v>11.67</v>
      </c>
      <c r="AD404" s="323">
        <v>5.01</v>
      </c>
      <c r="AE404" s="323">
        <v>0.03</v>
      </c>
      <c r="AF404" s="323">
        <v>0.02</v>
      </c>
      <c r="AG404" s="323">
        <v>0.04</v>
      </c>
      <c r="AH404" s="323">
        <v>0.37</v>
      </c>
      <c r="AI404" s="323">
        <v>0.05</v>
      </c>
      <c r="AJ404" s="323">
        <v>0.1</v>
      </c>
      <c r="AK404" s="323">
        <v>1.57</v>
      </c>
      <c r="AL404" s="323">
        <v>13.62</v>
      </c>
      <c r="AM404" s="323">
        <v>1.6944247675704615E-3</v>
      </c>
      <c r="AN404" s="323">
        <v>1.8388501892205565E-3</v>
      </c>
      <c r="AO404" s="323">
        <v>3.7859064602579289E-3</v>
      </c>
      <c r="AP404" s="323">
        <v>3.4499540324320083E-3</v>
      </c>
      <c r="AQ404" s="323">
        <v>5.4104424767570464E-2</v>
      </c>
      <c r="AR404" s="323">
        <v>5.2318850189220556E-2</v>
      </c>
      <c r="AS404" s="323">
        <v>5.4995906460257933E-2</v>
      </c>
      <c r="AT404" s="323">
        <v>5.4692854032432008E-2</v>
      </c>
      <c r="AU404" s="190">
        <v>10687052291518.518</v>
      </c>
      <c r="AV404" s="190">
        <v>11597970299175.057</v>
      </c>
      <c r="AW404" s="190">
        <v>191027331922621.94</v>
      </c>
      <c r="AX404" s="190">
        <v>174076016137566.72</v>
      </c>
      <c r="AY404" s="203">
        <v>16.399999999999999</v>
      </c>
      <c r="AZ404" s="239">
        <v>345.2</v>
      </c>
      <c r="BA404" s="203">
        <v>2012</v>
      </c>
      <c r="BB404" s="204">
        <v>41943</v>
      </c>
      <c r="BC404" s="203" t="s">
        <v>716</v>
      </c>
    </row>
    <row r="405" spans="1:55" x14ac:dyDescent="0.2">
      <c r="A405" s="184" t="s">
        <v>1760</v>
      </c>
      <c r="B405" s="184" t="s">
        <v>1759</v>
      </c>
      <c r="C405" s="184" t="s">
        <v>769</v>
      </c>
      <c r="D405" s="185" t="s">
        <v>1043</v>
      </c>
      <c r="E405" s="184" t="s">
        <v>1761</v>
      </c>
      <c r="F405" s="184" t="s">
        <v>1761</v>
      </c>
      <c r="G405" s="186">
        <f>IF(ALECA_Input!$F$13="ICAO (3000ft)",'Aircraft Calc'!C$211,'Aircraft Calc'!G$211)</f>
        <v>0.7</v>
      </c>
      <c r="H405" s="186">
        <f>IF(ALECA_Input!$F$13="ICAO (3000ft)",'Aircraft Calc'!D$211,'Aircraft Calc'!H$211)</f>
        <v>2.2000000000000002</v>
      </c>
      <c r="I405" s="186">
        <f>IF(ALECA_Input!$F$13="ICAO (3000ft)",'Aircraft Calc'!E$211,'Aircraft Calc'!I$211)</f>
        <v>4</v>
      </c>
      <c r="J405" s="189">
        <v>1</v>
      </c>
      <c r="K405" s="187">
        <f t="shared" si="73"/>
        <v>536.76599999999996</v>
      </c>
      <c r="L405" s="187">
        <f t="shared" si="74"/>
        <v>9.5881065599999999</v>
      </c>
      <c r="M405" s="187">
        <f t="shared" si="75"/>
        <v>1.7464919999999998E-2</v>
      </c>
      <c r="N405" s="187">
        <f t="shared" si="76"/>
        <v>0.51751086000000002</v>
      </c>
      <c r="O405" s="187">
        <f t="shared" si="77"/>
        <v>4.0519476166746199E-2</v>
      </c>
      <c r="P405" s="188">
        <f t="shared" si="78"/>
        <v>6.3296805026869542E+17</v>
      </c>
      <c r="Q405" s="187">
        <f t="shared" si="79"/>
        <v>12959.999999999998</v>
      </c>
      <c r="R405" s="219">
        <f t="shared" si="80"/>
        <v>57.41279999999999</v>
      </c>
      <c r="S405" s="219">
        <f t="shared" si="81"/>
        <v>7.3871999999999991</v>
      </c>
      <c r="T405" s="219">
        <f t="shared" si="82"/>
        <v>245.59199999999998</v>
      </c>
      <c r="U405" s="219">
        <f t="shared" si="83"/>
        <v>0.72389763845594524</v>
      </c>
      <c r="V405" s="188">
        <f t="shared" si="84"/>
        <v>2209887356045694</v>
      </c>
      <c r="W405" s="323">
        <v>2.4510000000000001</v>
      </c>
      <c r="X405" s="323">
        <v>2.012</v>
      </c>
      <c r="Y405" s="323">
        <v>0.70099999999999996</v>
      </c>
      <c r="Z405" s="323">
        <v>0.216</v>
      </c>
      <c r="AA405" s="323">
        <v>31.2</v>
      </c>
      <c r="AB405" s="323">
        <v>17.940000000000001</v>
      </c>
      <c r="AC405" s="323">
        <v>9.58</v>
      </c>
      <c r="AD405" s="323">
        <v>4.43</v>
      </c>
      <c r="AE405" s="323">
        <v>0.02</v>
      </c>
      <c r="AF405" s="323">
        <v>0.02</v>
      </c>
      <c r="AG405" s="323">
        <v>0.06</v>
      </c>
      <c r="AH405" s="323">
        <v>0.56999999999999995</v>
      </c>
      <c r="AI405" s="323">
        <v>0.17</v>
      </c>
      <c r="AJ405" s="323">
        <v>0.28000000000000003</v>
      </c>
      <c r="AK405" s="323">
        <v>2.5299999999999998</v>
      </c>
      <c r="AL405" s="323">
        <v>18.95</v>
      </c>
      <c r="AM405" s="323">
        <v>1.3792414342428912E-3</v>
      </c>
      <c r="AN405" s="323">
        <v>1.5591878606120145E-3</v>
      </c>
      <c r="AO405" s="323">
        <v>7.4150447612039885E-2</v>
      </c>
      <c r="AP405" s="323">
        <v>3.3793992635760151E-3</v>
      </c>
      <c r="AQ405" s="323">
        <v>5.2639241434242888E-2</v>
      </c>
      <c r="AR405" s="323">
        <v>5.203918786061202E-2</v>
      </c>
      <c r="AS405" s="323">
        <v>0.12648544761203989</v>
      </c>
      <c r="AT405" s="323">
        <v>5.5856299263576027E-2</v>
      </c>
      <c r="AU405" s="190">
        <v>8699132361903.3594</v>
      </c>
      <c r="AV405" s="190">
        <v>9834087955733.6621</v>
      </c>
      <c r="AW405" s="190">
        <v>3741445362395749</v>
      </c>
      <c r="AX405" s="190">
        <v>170515999694883.81</v>
      </c>
      <c r="AY405" s="203">
        <v>11.1</v>
      </c>
      <c r="AZ405" s="239">
        <v>299.8</v>
      </c>
      <c r="BA405" s="203">
        <v>2009</v>
      </c>
      <c r="BB405" s="204">
        <v>41943</v>
      </c>
      <c r="BC405" s="203" t="s">
        <v>716</v>
      </c>
    </row>
    <row r="406" spans="1:55" x14ac:dyDescent="0.2">
      <c r="A406" s="184" t="s">
        <v>1763</v>
      </c>
      <c r="B406" s="184" t="s">
        <v>1762</v>
      </c>
      <c r="C406" s="184" t="s">
        <v>769</v>
      </c>
      <c r="D406" s="185" t="s">
        <v>1043</v>
      </c>
      <c r="E406" s="184" t="s">
        <v>1764</v>
      </c>
      <c r="F406" s="184" t="s">
        <v>1764</v>
      </c>
      <c r="G406" s="186">
        <f>IF(ALECA_Input!$F$13="ICAO (3000ft)",'Aircraft Calc'!C$211,'Aircraft Calc'!G$211)</f>
        <v>0.7</v>
      </c>
      <c r="H406" s="186">
        <f>IF(ALECA_Input!$F$13="ICAO (3000ft)",'Aircraft Calc'!D$211,'Aircraft Calc'!H$211)</f>
        <v>2.2000000000000002</v>
      </c>
      <c r="I406" s="186">
        <f>IF(ALECA_Input!$F$13="ICAO (3000ft)",'Aircraft Calc'!E$211,'Aircraft Calc'!I$211)</f>
        <v>4</v>
      </c>
      <c r="J406" s="189">
        <v>1</v>
      </c>
      <c r="K406" s="187">
        <f t="shared" si="73"/>
        <v>522.2940000000001</v>
      </c>
      <c r="L406" s="187">
        <f t="shared" si="74"/>
        <v>10.83181506</v>
      </c>
      <c r="M406" s="187">
        <f t="shared" si="75"/>
        <v>1.3527480000000001E-2</v>
      </c>
      <c r="N406" s="187">
        <f t="shared" si="76"/>
        <v>0.32655618000000003</v>
      </c>
      <c r="O406" s="187">
        <f t="shared" si="77"/>
        <v>2.8123504063474962E-2</v>
      </c>
      <c r="P406" s="188">
        <f t="shared" si="78"/>
        <v>3.94561813066658E+16</v>
      </c>
      <c r="Q406" s="187">
        <f t="shared" si="79"/>
        <v>13140</v>
      </c>
      <c r="R406" s="219">
        <f t="shared" si="80"/>
        <v>64.648800000000008</v>
      </c>
      <c r="S406" s="219">
        <f t="shared" si="81"/>
        <v>5.3873999999999995</v>
      </c>
      <c r="T406" s="219">
        <f t="shared" si="82"/>
        <v>187.63919999999999</v>
      </c>
      <c r="U406" s="219">
        <f t="shared" si="83"/>
        <v>0.74936709975552063</v>
      </c>
      <c r="V406" s="188">
        <f t="shared" si="84"/>
        <v>3672923797420658.5</v>
      </c>
      <c r="W406" s="323">
        <v>2.4529999999999998</v>
      </c>
      <c r="X406" s="323">
        <v>2.0089999999999999</v>
      </c>
      <c r="Y406" s="323">
        <v>0.64200000000000002</v>
      </c>
      <c r="Z406" s="323">
        <v>0.219</v>
      </c>
      <c r="AA406" s="323">
        <v>34.21</v>
      </c>
      <c r="AB406" s="323">
        <v>21.1</v>
      </c>
      <c r="AC406" s="323">
        <v>11.11</v>
      </c>
      <c r="AD406" s="323">
        <v>4.92</v>
      </c>
      <c r="AE406" s="323">
        <v>0.02</v>
      </c>
      <c r="AF406" s="323">
        <v>0.02</v>
      </c>
      <c r="AG406" s="323">
        <v>0.04</v>
      </c>
      <c r="AH406" s="323">
        <v>0.41</v>
      </c>
      <c r="AI406" s="323">
        <v>7.0000000000000007E-2</v>
      </c>
      <c r="AJ406" s="323">
        <v>0.17</v>
      </c>
      <c r="AK406" s="323">
        <v>1.78</v>
      </c>
      <c r="AL406" s="323">
        <v>14.28</v>
      </c>
      <c r="AM406" s="323">
        <v>2.2223612964771271E-3</v>
      </c>
      <c r="AN406" s="323">
        <v>2.5123076129620514E-3</v>
      </c>
      <c r="AO406" s="323">
        <v>4.3488411038286982E-3</v>
      </c>
      <c r="AP406" s="323">
        <v>5.5397596465388563E-3</v>
      </c>
      <c r="AQ406" s="323">
        <v>5.3482361296477127E-2</v>
      </c>
      <c r="AR406" s="323">
        <v>5.2992307612962058E-2</v>
      </c>
      <c r="AS406" s="323">
        <v>5.5558841103828693E-2</v>
      </c>
      <c r="AT406" s="323">
        <v>5.7029459646538862E-2</v>
      </c>
      <c r="AU406" s="190">
        <v>14016846212742.992</v>
      </c>
      <c r="AV406" s="190">
        <v>15845591581267.422</v>
      </c>
      <c r="AW406" s="190">
        <v>219431600262841.31</v>
      </c>
      <c r="AX406" s="190">
        <v>279522359012226.66</v>
      </c>
      <c r="AY406" s="203">
        <v>12.5</v>
      </c>
      <c r="AZ406" s="239">
        <v>299.81</v>
      </c>
      <c r="BA406" s="203">
        <v>2012</v>
      </c>
      <c r="BB406" s="204">
        <v>41943</v>
      </c>
      <c r="BC406" s="203" t="s">
        <v>716</v>
      </c>
    </row>
    <row r="407" spans="1:55" x14ac:dyDescent="0.2">
      <c r="A407" s="184" t="s">
        <v>1766</v>
      </c>
      <c r="B407" s="184" t="s">
        <v>1765</v>
      </c>
      <c r="C407" s="184" t="s">
        <v>769</v>
      </c>
      <c r="D407" s="185" t="s">
        <v>1043</v>
      </c>
      <c r="E407" s="184" t="s">
        <v>1767</v>
      </c>
      <c r="F407" s="184" t="s">
        <v>1767</v>
      </c>
      <c r="G407" s="186">
        <f>IF(ALECA_Input!$F$13="ICAO (3000ft)",'Aircraft Calc'!C$211,'Aircraft Calc'!G$211)</f>
        <v>0.7</v>
      </c>
      <c r="H407" s="186">
        <f>IF(ALECA_Input!$F$13="ICAO (3000ft)",'Aircraft Calc'!D$211,'Aircraft Calc'!H$211)</f>
        <v>2.2000000000000002</v>
      </c>
      <c r="I407" s="186">
        <f>IF(ALECA_Input!$F$13="ICAO (3000ft)",'Aircraft Calc'!E$211,'Aircraft Calc'!I$211)</f>
        <v>4</v>
      </c>
      <c r="J407" s="189">
        <v>1</v>
      </c>
      <c r="K407" s="187">
        <f t="shared" si="73"/>
        <v>585.92400000000009</v>
      </c>
      <c r="L407" s="187">
        <f t="shared" si="74"/>
        <v>15.496306320000002</v>
      </c>
      <c r="M407" s="187">
        <f t="shared" si="75"/>
        <v>1.6293480000000003E-2</v>
      </c>
      <c r="N407" s="187">
        <f t="shared" si="76"/>
        <v>0.29307636000000004</v>
      </c>
      <c r="O407" s="187">
        <f t="shared" si="77"/>
        <v>3.1339172126929708E-2</v>
      </c>
      <c r="P407" s="188">
        <f t="shared" si="78"/>
        <v>3.8206458788022848E+16</v>
      </c>
      <c r="Q407" s="187">
        <f t="shared" si="79"/>
        <v>13380</v>
      </c>
      <c r="R407" s="219">
        <f t="shared" si="80"/>
        <v>67.435200000000009</v>
      </c>
      <c r="S407" s="219">
        <f t="shared" si="81"/>
        <v>4.8167999999999997</v>
      </c>
      <c r="T407" s="219">
        <f t="shared" si="82"/>
        <v>179.8272</v>
      </c>
      <c r="U407" s="219">
        <f t="shared" si="83"/>
        <v>0.73096484095394021</v>
      </c>
      <c r="V407" s="188">
        <f t="shared" si="84"/>
        <v>2329137095920643</v>
      </c>
      <c r="W407" s="323">
        <v>2.79</v>
      </c>
      <c r="X407" s="323">
        <v>2.262</v>
      </c>
      <c r="Y407" s="323">
        <v>0.70899999999999996</v>
      </c>
      <c r="Z407" s="323">
        <v>0.223</v>
      </c>
      <c r="AA407" s="323">
        <v>46.9</v>
      </c>
      <c r="AB407" s="323">
        <v>26.78</v>
      </c>
      <c r="AC407" s="323">
        <v>11.78</v>
      </c>
      <c r="AD407" s="323">
        <v>5.04</v>
      </c>
      <c r="AE407" s="323">
        <v>0.03</v>
      </c>
      <c r="AF407" s="323">
        <v>0.02</v>
      </c>
      <c r="AG407" s="323">
        <v>0.04</v>
      </c>
      <c r="AH407" s="323">
        <v>0.36</v>
      </c>
      <c r="AI407" s="323">
        <v>0.05</v>
      </c>
      <c r="AJ407" s="323">
        <v>0.09</v>
      </c>
      <c r="AK407" s="323">
        <v>1.53</v>
      </c>
      <c r="AL407" s="323">
        <v>13.44</v>
      </c>
      <c r="AM407" s="323">
        <v>1.6944247675704615E-3</v>
      </c>
      <c r="AN407" s="323">
        <v>1.8388501892205565E-3</v>
      </c>
      <c r="AO407" s="323">
        <v>3.90074322853531E-3</v>
      </c>
      <c r="AP407" s="323">
        <v>3.4499540324320083E-3</v>
      </c>
      <c r="AQ407" s="323">
        <v>5.4104424767570464E-2</v>
      </c>
      <c r="AR407" s="323">
        <v>5.2318850189220556E-2</v>
      </c>
      <c r="AS407" s="323">
        <v>5.5110743228535312E-2</v>
      </c>
      <c r="AT407" s="323">
        <v>5.4631154032432003E-2</v>
      </c>
      <c r="AU407" s="190">
        <v>10687052291518.518</v>
      </c>
      <c r="AV407" s="190">
        <v>11597970299175.057</v>
      </c>
      <c r="AW407" s="190">
        <v>196821706844698.06</v>
      </c>
      <c r="AX407" s="190">
        <v>174076016137566.72</v>
      </c>
      <c r="AY407" s="203">
        <v>17.2</v>
      </c>
      <c r="AZ407" s="239">
        <v>349.2</v>
      </c>
      <c r="BA407" s="203">
        <v>2012</v>
      </c>
      <c r="BB407" s="204">
        <v>42709</v>
      </c>
      <c r="BC407" s="203" t="s">
        <v>716</v>
      </c>
    </row>
    <row r="408" spans="1:55" x14ac:dyDescent="0.2">
      <c r="A408" s="184" t="s">
        <v>1769</v>
      </c>
      <c r="B408" s="184" t="s">
        <v>1768</v>
      </c>
      <c r="C408" s="184" t="s">
        <v>723</v>
      </c>
      <c r="D408" s="185" t="s">
        <v>1043</v>
      </c>
      <c r="E408" s="184" t="s">
        <v>1770</v>
      </c>
      <c r="F408" s="184" t="s">
        <v>1771</v>
      </c>
      <c r="G408" s="186">
        <f>IF(ALECA_Input!$F$13="ICAO (3000ft)",'Aircraft Calc'!C$211,'Aircraft Calc'!G$211)</f>
        <v>0.7</v>
      </c>
      <c r="H408" s="186">
        <f>IF(ALECA_Input!$F$13="ICAO (3000ft)",'Aircraft Calc'!D$211,'Aircraft Calc'!H$211)</f>
        <v>2.2000000000000002</v>
      </c>
      <c r="I408" s="186">
        <f>IF(ALECA_Input!$F$13="ICAO (3000ft)",'Aircraft Calc'!E$211,'Aircraft Calc'!I$211)</f>
        <v>4</v>
      </c>
      <c r="J408" s="189">
        <v>1</v>
      </c>
      <c r="K408" s="187">
        <f t="shared" si="73"/>
        <v>255.37199999999999</v>
      </c>
      <c r="L408" s="187">
        <f t="shared" si="74"/>
        <v>2.2131564000000004</v>
      </c>
      <c r="M408" s="187">
        <f t="shared" si="75"/>
        <v>0.77543999999999991</v>
      </c>
      <c r="N408" s="187">
        <f t="shared" si="76"/>
        <v>2.4529092000000001</v>
      </c>
      <c r="O408" s="187">
        <f t="shared" si="77"/>
        <v>0.33543542311068214</v>
      </c>
      <c r="P408" s="188">
        <f t="shared" si="78"/>
        <v>2.3043055696643948E+18</v>
      </c>
      <c r="Q408" s="187">
        <f t="shared" si="79"/>
        <v>8100.0000000000018</v>
      </c>
      <c r="R408" s="219">
        <f t="shared" si="80"/>
        <v>20.250000000000004</v>
      </c>
      <c r="S408" s="219">
        <f t="shared" si="81"/>
        <v>907.20000000000016</v>
      </c>
      <c r="T408" s="219">
        <f t="shared" si="82"/>
        <v>793.80000000000018</v>
      </c>
      <c r="U408" s="219">
        <f t="shared" si="83"/>
        <v>7.813080001045579</v>
      </c>
      <c r="V408" s="188">
        <f t="shared" si="84"/>
        <v>9.1786208349654496E+16</v>
      </c>
      <c r="W408" s="323">
        <v>1.1739999999999999</v>
      </c>
      <c r="X408" s="323">
        <v>0.93200000000000005</v>
      </c>
      <c r="Y408" s="323">
        <v>0.34599999999999997</v>
      </c>
      <c r="Z408" s="323">
        <v>0.13500000000000001</v>
      </c>
      <c r="AA408" s="323">
        <v>12.1</v>
      </c>
      <c r="AB408" s="323">
        <v>9.9</v>
      </c>
      <c r="AC408" s="323">
        <v>4.8</v>
      </c>
      <c r="AD408" s="323">
        <v>2.5</v>
      </c>
      <c r="AE408" s="323">
        <v>4</v>
      </c>
      <c r="AF408" s="323">
        <v>2</v>
      </c>
      <c r="AG408" s="323">
        <v>4</v>
      </c>
      <c r="AH408" s="323">
        <v>112</v>
      </c>
      <c r="AI408" s="323">
        <v>1.5</v>
      </c>
      <c r="AJ408" s="323">
        <v>2.8000000000000003</v>
      </c>
      <c r="AK408" s="323">
        <v>24.5</v>
      </c>
      <c r="AL408" s="323">
        <v>98</v>
      </c>
      <c r="AM408" s="323">
        <v>1.7608485692536764</v>
      </c>
      <c r="AN408" s="323">
        <v>1.3119660146227969</v>
      </c>
      <c r="AO408" s="323">
        <v>0.1762988168950736</v>
      </c>
      <c r="AP408" s="323">
        <v>0.22457777790686145</v>
      </c>
      <c r="AQ408" s="323">
        <v>2.2698085692536765</v>
      </c>
      <c r="AR408" s="323">
        <v>1.512926014622797</v>
      </c>
      <c r="AS408" s="323">
        <v>0.45025881689507358</v>
      </c>
      <c r="AT408" s="323">
        <v>0.96457777790686139</v>
      </c>
      <c r="AU408" s="190">
        <v>1.1105999568244072E+16</v>
      </c>
      <c r="AV408" s="190">
        <v>8274813772388938</v>
      </c>
      <c r="AW408" s="190">
        <v>8895595537319837</v>
      </c>
      <c r="AX408" s="190">
        <v>1.133163066045117E+16</v>
      </c>
      <c r="AY408" s="203">
        <v>11</v>
      </c>
      <c r="AZ408" s="239">
        <v>80.06</v>
      </c>
      <c r="BA408" s="203">
        <v>1974</v>
      </c>
      <c r="BB408" s="204">
        <v>37449</v>
      </c>
      <c r="BC408" s="203" t="s">
        <v>3102</v>
      </c>
    </row>
    <row r="409" spans="1:55" x14ac:dyDescent="0.2">
      <c r="A409" s="184" t="s">
        <v>1773</v>
      </c>
      <c r="B409" s="184" t="s">
        <v>1772</v>
      </c>
      <c r="C409" s="184" t="s">
        <v>723</v>
      </c>
      <c r="D409" s="185" t="s">
        <v>1043</v>
      </c>
      <c r="E409" s="184" t="s">
        <v>1774</v>
      </c>
      <c r="F409" s="184" t="s">
        <v>1775</v>
      </c>
      <c r="G409" s="186">
        <f>IF(ALECA_Input!$F$13="ICAO (3000ft)",'Aircraft Calc'!C$211,'Aircraft Calc'!G$211)</f>
        <v>0.7</v>
      </c>
      <c r="H409" s="186">
        <f>IF(ALECA_Input!$F$13="ICAO (3000ft)",'Aircraft Calc'!D$211,'Aircraft Calc'!H$211)</f>
        <v>2.2000000000000002</v>
      </c>
      <c r="I409" s="186">
        <f>IF(ALECA_Input!$F$13="ICAO (3000ft)",'Aircraft Calc'!E$211,'Aircraft Calc'!I$211)</f>
        <v>4</v>
      </c>
      <c r="J409" s="189">
        <v>1</v>
      </c>
      <c r="K409" s="187">
        <f t="shared" si="73"/>
        <v>282.25200000000001</v>
      </c>
      <c r="L409" s="187">
        <f t="shared" si="74"/>
        <v>2.4695530800000003</v>
      </c>
      <c r="M409" s="187">
        <f t="shared" si="75"/>
        <v>0.2768796</v>
      </c>
      <c r="N409" s="187">
        <f t="shared" si="76"/>
        <v>2.1262201200000002</v>
      </c>
      <c r="O409" s="187">
        <f t="shared" si="77"/>
        <v>0.27464391705578561</v>
      </c>
      <c r="P409" s="188">
        <f t="shared" si="78"/>
        <v>2.2171715297199736E+18</v>
      </c>
      <c r="Q409" s="187">
        <f t="shared" si="79"/>
        <v>7680</v>
      </c>
      <c r="R409" s="219">
        <f t="shared" si="80"/>
        <v>16.896000000000001</v>
      </c>
      <c r="S409" s="219">
        <f t="shared" si="81"/>
        <v>944.64</v>
      </c>
      <c r="T409" s="219">
        <f t="shared" si="82"/>
        <v>1067.4431999999999</v>
      </c>
      <c r="U409" s="219">
        <f t="shared" si="83"/>
        <v>7.8347255733314647</v>
      </c>
      <c r="V409" s="188">
        <f t="shared" si="84"/>
        <v>8.2260034940351776E+16</v>
      </c>
      <c r="W409" s="323">
        <v>1.254</v>
      </c>
      <c r="X409" s="323">
        <v>1.032</v>
      </c>
      <c r="Y409" s="323">
        <v>0.38900000000000001</v>
      </c>
      <c r="Z409" s="323">
        <v>0.128</v>
      </c>
      <c r="AA409" s="323">
        <v>12.69</v>
      </c>
      <c r="AB409" s="323">
        <v>9.59</v>
      </c>
      <c r="AC409" s="323">
        <v>5.3</v>
      </c>
      <c r="AD409" s="323">
        <v>2.2000000000000002</v>
      </c>
      <c r="AE409" s="323">
        <v>0.5</v>
      </c>
      <c r="AF409" s="323">
        <v>0.4</v>
      </c>
      <c r="AG409" s="323">
        <v>2.1</v>
      </c>
      <c r="AH409" s="323">
        <v>123</v>
      </c>
      <c r="AI409" s="323">
        <v>0.89</v>
      </c>
      <c r="AJ409" s="323">
        <v>1.9000000000000001</v>
      </c>
      <c r="AK409" s="323">
        <v>19.5</v>
      </c>
      <c r="AL409" s="323">
        <v>138.99</v>
      </c>
      <c r="AM409" s="323">
        <v>1.4543048226934787</v>
      </c>
      <c r="AN409" s="323">
        <v>1.104607553018609</v>
      </c>
      <c r="AO409" s="323">
        <v>0.1666420718911574</v>
      </c>
      <c r="AP409" s="323">
        <v>0.21227655902753453</v>
      </c>
      <c r="AQ409" s="323">
        <v>1.5607648226934785</v>
      </c>
      <c r="AR409" s="323">
        <v>1.1839675530186091</v>
      </c>
      <c r="AS409" s="323">
        <v>0.33372707189115736</v>
      </c>
      <c r="AT409" s="323">
        <v>1.0201465590275345</v>
      </c>
      <c r="AU409" s="190">
        <v>9172571119942900</v>
      </c>
      <c r="AV409" s="190">
        <v>6966965371760175</v>
      </c>
      <c r="AW409" s="190">
        <v>8408340436719824</v>
      </c>
      <c r="AX409" s="190">
        <v>1.0710942049524972E+16</v>
      </c>
      <c r="AY409" s="203">
        <v>11.6</v>
      </c>
      <c r="AZ409" s="239">
        <v>84.52</v>
      </c>
      <c r="BB409" s="204">
        <v>39296</v>
      </c>
      <c r="BC409" s="203" t="s">
        <v>3117</v>
      </c>
    </row>
    <row r="410" spans="1:55" x14ac:dyDescent="0.2">
      <c r="A410" s="184" t="s">
        <v>1773</v>
      </c>
      <c r="B410" s="184" t="s">
        <v>1776</v>
      </c>
      <c r="C410" s="184" t="s">
        <v>723</v>
      </c>
      <c r="D410" s="185" t="s">
        <v>1043</v>
      </c>
      <c r="E410" s="184" t="s">
        <v>1777</v>
      </c>
      <c r="F410" s="184" t="s">
        <v>1778</v>
      </c>
      <c r="G410" s="186">
        <f>IF(ALECA_Input!$F$13="ICAO (3000ft)",'Aircraft Calc'!C$211,'Aircraft Calc'!G$211)</f>
        <v>0.7</v>
      </c>
      <c r="H410" s="186">
        <f>IF(ALECA_Input!$F$13="ICAO (3000ft)",'Aircraft Calc'!D$211,'Aircraft Calc'!H$211)</f>
        <v>2.2000000000000002</v>
      </c>
      <c r="I410" s="186">
        <f>IF(ALECA_Input!$F$13="ICAO (3000ft)",'Aircraft Calc'!E$211,'Aircraft Calc'!I$211)</f>
        <v>4</v>
      </c>
      <c r="J410" s="189">
        <v>1</v>
      </c>
      <c r="K410" s="187">
        <f t="shared" si="73"/>
        <v>282.25200000000001</v>
      </c>
      <c r="L410" s="187">
        <f t="shared" si="74"/>
        <v>2.4695530800000003</v>
      </c>
      <c r="M410" s="187">
        <f t="shared" si="75"/>
        <v>0.2768796</v>
      </c>
      <c r="N410" s="187">
        <f t="shared" si="76"/>
        <v>2.1262201200000002</v>
      </c>
      <c r="O410" s="187">
        <f t="shared" si="77"/>
        <v>0.31993771588675257</v>
      </c>
      <c r="P410" s="188">
        <f t="shared" si="78"/>
        <v>2.5426518159543695E+18</v>
      </c>
      <c r="Q410" s="187">
        <f t="shared" si="79"/>
        <v>7680</v>
      </c>
      <c r="R410" s="219">
        <f t="shared" si="80"/>
        <v>16.896000000000001</v>
      </c>
      <c r="S410" s="219">
        <f t="shared" si="81"/>
        <v>944.64</v>
      </c>
      <c r="T410" s="219">
        <f t="shared" si="82"/>
        <v>1067.4431999999999</v>
      </c>
      <c r="U410" s="219">
        <f t="shared" si="83"/>
        <v>7.9291989343246962</v>
      </c>
      <c r="V410" s="188">
        <f t="shared" si="84"/>
        <v>8.7026923472264976E+16</v>
      </c>
      <c r="W410" s="323">
        <v>1.254</v>
      </c>
      <c r="X410" s="323">
        <v>1.032</v>
      </c>
      <c r="Y410" s="323">
        <v>0.38900000000000001</v>
      </c>
      <c r="Z410" s="323">
        <v>0.128</v>
      </c>
      <c r="AA410" s="323">
        <v>12.69</v>
      </c>
      <c r="AB410" s="323">
        <v>9.59</v>
      </c>
      <c r="AC410" s="323">
        <v>5.3</v>
      </c>
      <c r="AD410" s="323">
        <v>2.2000000000000002</v>
      </c>
      <c r="AE410" s="323">
        <v>0.5</v>
      </c>
      <c r="AF410" s="323">
        <v>0.4</v>
      </c>
      <c r="AG410" s="323">
        <v>2.1</v>
      </c>
      <c r="AH410" s="323">
        <v>123</v>
      </c>
      <c r="AI410" s="323">
        <v>0.89</v>
      </c>
      <c r="AJ410" s="323">
        <v>1.9000000000000001</v>
      </c>
      <c r="AK410" s="323">
        <v>19.5</v>
      </c>
      <c r="AL410" s="323">
        <v>138.99</v>
      </c>
      <c r="AM410" s="323">
        <v>1.7608485692536764</v>
      </c>
      <c r="AN410" s="323">
        <v>1.3119660146227969</v>
      </c>
      <c r="AO410" s="323">
        <v>0.1762988168950736</v>
      </c>
      <c r="AP410" s="323">
        <v>0.22457777790686145</v>
      </c>
      <c r="AQ410" s="323">
        <v>1.8673085692536764</v>
      </c>
      <c r="AR410" s="323">
        <v>1.3913260146227968</v>
      </c>
      <c r="AS410" s="323">
        <v>0.34338381689507358</v>
      </c>
      <c r="AT410" s="323">
        <v>1.0324477779068615</v>
      </c>
      <c r="AU410" s="190">
        <v>1.1105999568244072E+16</v>
      </c>
      <c r="AV410" s="190">
        <v>8274813772388938</v>
      </c>
      <c r="AW410" s="190">
        <v>8895595537319837</v>
      </c>
      <c r="AX410" s="190">
        <v>1.133163066045117E+16</v>
      </c>
      <c r="AY410" s="203">
        <v>11.6</v>
      </c>
      <c r="AZ410" s="239">
        <v>84.52</v>
      </c>
      <c r="BB410" s="204">
        <v>37449</v>
      </c>
      <c r="BC410" s="203" t="s">
        <v>3118</v>
      </c>
    </row>
    <row r="411" spans="1:55" x14ac:dyDescent="0.2">
      <c r="A411" s="184" t="s">
        <v>670</v>
      </c>
      <c r="B411" s="184" t="s">
        <v>1779</v>
      </c>
      <c r="C411" s="184" t="s">
        <v>723</v>
      </c>
      <c r="D411" s="185" t="s">
        <v>1043</v>
      </c>
      <c r="E411" s="184" t="s">
        <v>288</v>
      </c>
      <c r="F411" s="184" t="s">
        <v>1780</v>
      </c>
      <c r="G411" s="186">
        <f>IF(ALECA_Input!$F$13="ICAO (3000ft)",'Aircraft Calc'!C$211,'Aircraft Calc'!G$211)</f>
        <v>0.7</v>
      </c>
      <c r="H411" s="186">
        <f>IF(ALECA_Input!$F$13="ICAO (3000ft)",'Aircraft Calc'!D$211,'Aircraft Calc'!H$211)</f>
        <v>2.2000000000000002</v>
      </c>
      <c r="I411" s="186">
        <f>IF(ALECA_Input!$F$13="ICAO (3000ft)",'Aircraft Calc'!E$211,'Aircraft Calc'!I$211)</f>
        <v>4</v>
      </c>
      <c r="J411" s="189">
        <v>1</v>
      </c>
      <c r="K411" s="187">
        <f t="shared" si="73"/>
        <v>71.555400000000006</v>
      </c>
      <c r="L411" s="187">
        <f t="shared" si="74"/>
        <v>1.2163292880000001</v>
      </c>
      <c r="M411" s="187">
        <f t="shared" si="75"/>
        <v>0</v>
      </c>
      <c r="N411" s="187">
        <f t="shared" si="76"/>
        <v>0.28393728600000001</v>
      </c>
      <c r="O411" s="187">
        <f t="shared" si="77"/>
        <v>1.1561119274962315E-2</v>
      </c>
      <c r="P411" s="188">
        <f t="shared" si="78"/>
        <v>9.52717246745464E+16</v>
      </c>
      <c r="Q411" s="187">
        <f t="shared" si="79"/>
        <v>2532</v>
      </c>
      <c r="R411" s="219">
        <f t="shared" si="80"/>
        <v>10.78632</v>
      </c>
      <c r="S411" s="219">
        <f t="shared" si="81"/>
        <v>11.039520000000001</v>
      </c>
      <c r="T411" s="219">
        <f t="shared" si="82"/>
        <v>92.038200000000003</v>
      </c>
      <c r="U411" s="219">
        <f t="shared" si="83"/>
        <v>0.33128549578682298</v>
      </c>
      <c r="V411" s="188">
        <f t="shared" si="84"/>
        <v>7023931536240008</v>
      </c>
      <c r="W411" s="323">
        <v>0.31709999999999999</v>
      </c>
      <c r="X411" s="323">
        <v>0.2641</v>
      </c>
      <c r="Y411" s="323">
        <v>9.74E-2</v>
      </c>
      <c r="Z411" s="323">
        <v>4.2200000000000001E-2</v>
      </c>
      <c r="AA411" s="323">
        <v>20.079999999999998</v>
      </c>
      <c r="AB411" s="323">
        <v>19.260000000000002</v>
      </c>
      <c r="AC411" s="323">
        <v>11.87</v>
      </c>
      <c r="AD411" s="323">
        <v>4.26</v>
      </c>
      <c r="AE411" s="323">
        <v>0</v>
      </c>
      <c r="AF411" s="323">
        <v>0</v>
      </c>
      <c r="AG411" s="323">
        <v>0</v>
      </c>
      <c r="AH411" s="323">
        <v>4.3600000000000003</v>
      </c>
      <c r="AI411" s="323">
        <v>2.27</v>
      </c>
      <c r="AJ411" s="323">
        <v>2.5099999999999998</v>
      </c>
      <c r="AK411" s="323">
        <v>7.11</v>
      </c>
      <c r="AL411" s="323">
        <v>36.35</v>
      </c>
      <c r="AM411" s="323">
        <v>0.1502747674096569</v>
      </c>
      <c r="AN411" s="323">
        <v>0.14484848099465178</v>
      </c>
      <c r="AO411" s="323">
        <v>4.3069199948505693E-2</v>
      </c>
      <c r="AP411" s="323">
        <v>5.497825331233136E-2</v>
      </c>
      <c r="AQ411" s="323">
        <v>0.1992347674096569</v>
      </c>
      <c r="AR411" s="323">
        <v>0.19380848099465176</v>
      </c>
      <c r="AS411" s="323">
        <v>9.2029199948505697E-2</v>
      </c>
      <c r="AT411" s="323">
        <v>0.13083945331233135</v>
      </c>
      <c r="AU411" s="190">
        <v>947810919752742.5</v>
      </c>
      <c r="AV411" s="190">
        <v>913586321661517.75</v>
      </c>
      <c r="AW411" s="190">
        <v>2173163663859895.8</v>
      </c>
      <c r="AX411" s="190">
        <v>2774064587772515</v>
      </c>
      <c r="AY411" s="203">
        <v>1.5</v>
      </c>
      <c r="AZ411" s="239">
        <v>26.91</v>
      </c>
      <c r="BA411" s="203">
        <v>2000</v>
      </c>
      <c r="BB411" s="204">
        <v>39296</v>
      </c>
      <c r="BC411" s="203" t="s">
        <v>3119</v>
      </c>
    </row>
    <row r="412" spans="1:55" x14ac:dyDescent="0.2">
      <c r="A412" s="184" t="s">
        <v>685</v>
      </c>
      <c r="B412" s="184" t="s">
        <v>1781</v>
      </c>
      <c r="C412" s="184" t="s">
        <v>723</v>
      </c>
      <c r="D412" s="185" t="s">
        <v>1043</v>
      </c>
      <c r="E412" s="184" t="s">
        <v>319</v>
      </c>
      <c r="F412" s="184" t="s">
        <v>319</v>
      </c>
      <c r="G412" s="186">
        <f>IF(ALECA_Input!$F$13="ICAO (3000ft)",'Aircraft Calc'!C$211,'Aircraft Calc'!G$211)</f>
        <v>0.7</v>
      </c>
      <c r="H412" s="186">
        <f>IF(ALECA_Input!$F$13="ICAO (3000ft)",'Aircraft Calc'!D$211,'Aircraft Calc'!H$211)</f>
        <v>2.2000000000000002</v>
      </c>
      <c r="I412" s="186">
        <f>IF(ALECA_Input!$F$13="ICAO (3000ft)",'Aircraft Calc'!E$211,'Aircraft Calc'!I$211)</f>
        <v>4</v>
      </c>
      <c r="J412" s="189">
        <v>1</v>
      </c>
      <c r="K412" s="187">
        <f t="shared" si="73"/>
        <v>84.25800000000001</v>
      </c>
      <c r="L412" s="187">
        <f t="shared" si="74"/>
        <v>1.0465049040000001</v>
      </c>
      <c r="M412" s="187">
        <f t="shared" si="75"/>
        <v>5.9279999999999999E-4</v>
      </c>
      <c r="N412" s="187">
        <f t="shared" si="76"/>
        <v>0.17534481600000001</v>
      </c>
      <c r="O412" s="187">
        <f t="shared" si="77"/>
        <v>3.7627072544384361E-2</v>
      </c>
      <c r="P412" s="188">
        <f t="shared" si="78"/>
        <v>6.1768973761454029E+17</v>
      </c>
      <c r="Q412" s="187">
        <f t="shared" si="79"/>
        <v>2670</v>
      </c>
      <c r="R412" s="219">
        <f t="shared" si="80"/>
        <v>9.7454999999999998</v>
      </c>
      <c r="S412" s="219">
        <f t="shared" si="81"/>
        <v>17.6754</v>
      </c>
      <c r="T412" s="219">
        <f t="shared" si="82"/>
        <v>102.02070000000001</v>
      </c>
      <c r="U412" s="219">
        <f t="shared" si="83"/>
        <v>1.2987238667113545</v>
      </c>
      <c r="V412" s="188">
        <f t="shared" si="84"/>
        <v>5.3431626953215424E+16</v>
      </c>
      <c r="W412" s="323">
        <v>0.3604</v>
      </c>
      <c r="X412" s="323">
        <v>0.29909999999999998</v>
      </c>
      <c r="Y412" s="323">
        <v>0.1235</v>
      </c>
      <c r="Z412" s="323">
        <v>4.4499999999999998E-2</v>
      </c>
      <c r="AA412" s="323">
        <v>16.739999999999998</v>
      </c>
      <c r="AB412" s="323">
        <v>14.06</v>
      </c>
      <c r="AC412" s="323">
        <v>8.0299999999999994</v>
      </c>
      <c r="AD412" s="323">
        <v>3.65</v>
      </c>
      <c r="AE412" s="323">
        <v>0</v>
      </c>
      <c r="AF412" s="323">
        <v>0</v>
      </c>
      <c r="AG412" s="323">
        <v>0.02</v>
      </c>
      <c r="AH412" s="323">
        <v>6.62</v>
      </c>
      <c r="AI412" s="323">
        <v>0.83</v>
      </c>
      <c r="AJ412" s="323">
        <v>1.06</v>
      </c>
      <c r="AK412" s="323">
        <v>4.08</v>
      </c>
      <c r="AL412" s="323">
        <v>38.21</v>
      </c>
      <c r="AM412" s="323">
        <v>0.44047265194867463</v>
      </c>
      <c r="AN412" s="323">
        <v>0.44557170830280252</v>
      </c>
      <c r="AO412" s="323">
        <v>0.31070862673829491</v>
      </c>
      <c r="AP412" s="323">
        <v>0.39660803322522648</v>
      </c>
      <c r="AQ412" s="323">
        <v>0.48943265194867464</v>
      </c>
      <c r="AR412" s="323">
        <v>0.49453170830280246</v>
      </c>
      <c r="AS412" s="323">
        <v>0.3607936267382949</v>
      </c>
      <c r="AT412" s="323">
        <v>0.48641343322522645</v>
      </c>
      <c r="AU412" s="190">
        <v>2778142974803731</v>
      </c>
      <c r="AV412" s="190">
        <v>2810303672013144.5</v>
      </c>
      <c r="AW412" s="190">
        <v>1.5677576980365916E+16</v>
      </c>
      <c r="AX412" s="190">
        <v>2.0011845300829748E+16</v>
      </c>
      <c r="AY412" s="203">
        <v>1.3</v>
      </c>
      <c r="AZ412" s="239">
        <v>30.71</v>
      </c>
      <c r="BA412" s="203">
        <v>2000</v>
      </c>
      <c r="BB412" s="204">
        <v>39296</v>
      </c>
      <c r="BC412" s="203" t="s">
        <v>3119</v>
      </c>
    </row>
    <row r="413" spans="1:55" x14ac:dyDescent="0.2">
      <c r="A413" s="184" t="s">
        <v>1783</v>
      </c>
      <c r="B413" s="184" t="s">
        <v>1782</v>
      </c>
      <c r="C413" s="184" t="s">
        <v>723</v>
      </c>
      <c r="D413" s="185" t="s">
        <v>1043</v>
      </c>
      <c r="E413" s="184" t="s">
        <v>1784</v>
      </c>
      <c r="F413" s="184" t="s">
        <v>1784</v>
      </c>
      <c r="G413" s="186">
        <f>IF(ALECA_Input!$F$13="ICAO (3000ft)",'Aircraft Calc'!C$211,'Aircraft Calc'!G$211)</f>
        <v>0.7</v>
      </c>
      <c r="H413" s="186">
        <f>IF(ALECA_Input!$F$13="ICAO (3000ft)",'Aircraft Calc'!D$211,'Aircraft Calc'!H$211)</f>
        <v>2.2000000000000002</v>
      </c>
      <c r="I413" s="186">
        <f>IF(ALECA_Input!$F$13="ICAO (3000ft)",'Aircraft Calc'!E$211,'Aircraft Calc'!I$211)</f>
        <v>4</v>
      </c>
      <c r="J413" s="189">
        <v>1</v>
      </c>
      <c r="K413" s="187">
        <f t="shared" si="73"/>
        <v>85.318200000000019</v>
      </c>
      <c r="L413" s="187">
        <f t="shared" si="74"/>
        <v>1.1598920460000002</v>
      </c>
      <c r="M413" s="187">
        <f t="shared" si="75"/>
        <v>9.5652420000000016E-3</v>
      </c>
      <c r="N413" s="187">
        <f t="shared" si="76"/>
        <v>0.20676396600000005</v>
      </c>
      <c r="O413" s="187">
        <f t="shared" si="77"/>
        <v>2.2448669582270171E-2</v>
      </c>
      <c r="P413" s="188">
        <f t="shared" si="78"/>
        <v>2.4467065515537344E+17</v>
      </c>
      <c r="Q413" s="187">
        <f t="shared" si="79"/>
        <v>2688</v>
      </c>
      <c r="R413" s="219">
        <f t="shared" si="80"/>
        <v>9.7574400000000008</v>
      </c>
      <c r="S413" s="219">
        <f t="shared" si="81"/>
        <v>15.966720000000002</v>
      </c>
      <c r="T413" s="219">
        <f t="shared" si="82"/>
        <v>113.7024</v>
      </c>
      <c r="U413" s="219">
        <f t="shared" si="83"/>
        <v>0.5804677776907331</v>
      </c>
      <c r="V413" s="188">
        <f t="shared" si="84"/>
        <v>1.7677712258575164E+16</v>
      </c>
      <c r="W413" s="323">
        <v>0.3669</v>
      </c>
      <c r="X413" s="323">
        <v>0.30470000000000003</v>
      </c>
      <c r="Y413" s="323">
        <v>0.1237</v>
      </c>
      <c r="Z413" s="323">
        <v>4.48E-2</v>
      </c>
      <c r="AA413" s="323">
        <v>18.45</v>
      </c>
      <c r="AB413" s="323">
        <v>15.99</v>
      </c>
      <c r="AC413" s="323">
        <v>7.83</v>
      </c>
      <c r="AD413" s="323">
        <v>3.63</v>
      </c>
      <c r="AE413" s="323">
        <v>0.09</v>
      </c>
      <c r="AF413" s="323">
        <v>0.1</v>
      </c>
      <c r="AG413" s="323">
        <v>0.14000000000000001</v>
      </c>
      <c r="AH413" s="323">
        <v>5.94</v>
      </c>
      <c r="AI413" s="323">
        <v>0.81</v>
      </c>
      <c r="AJ413" s="323">
        <v>0.97</v>
      </c>
      <c r="AK413" s="323">
        <v>5.23</v>
      </c>
      <c r="AL413" s="323">
        <v>42.3</v>
      </c>
      <c r="AM413" s="323">
        <v>0.2502072791119645</v>
      </c>
      <c r="AN413" s="323">
        <v>0.26567319726778321</v>
      </c>
      <c r="AO413" s="323">
        <v>0.10210875260110037</v>
      </c>
      <c r="AP413" s="323">
        <v>0.13033803396232629</v>
      </c>
      <c r="AQ413" s="323">
        <v>0.30951727911196453</v>
      </c>
      <c r="AR413" s="323">
        <v>0.32223319726778321</v>
      </c>
      <c r="AS413" s="323">
        <v>0.15894375260110039</v>
      </c>
      <c r="AT413" s="323">
        <v>0.21594783396232631</v>
      </c>
      <c r="AU413" s="190">
        <v>1578103865550902</v>
      </c>
      <c r="AV413" s="190">
        <v>1675650289110664.3</v>
      </c>
      <c r="AW413" s="190">
        <v>5152151216648496</v>
      </c>
      <c r="AX413" s="190">
        <v>6576529858100879</v>
      </c>
      <c r="AY413" s="203">
        <v>1.4</v>
      </c>
      <c r="AZ413" s="239">
        <v>31.15</v>
      </c>
      <c r="BA413" s="203">
        <v>2001</v>
      </c>
      <c r="BB413" s="204">
        <v>39296</v>
      </c>
      <c r="BC413" s="203" t="s">
        <v>3119</v>
      </c>
    </row>
    <row r="414" spans="1:55" x14ac:dyDescent="0.2">
      <c r="A414" s="184" t="s">
        <v>683</v>
      </c>
      <c r="B414" s="184" t="s">
        <v>1785</v>
      </c>
      <c r="C414" s="184" t="s">
        <v>723</v>
      </c>
      <c r="D414" s="185" t="s">
        <v>1043</v>
      </c>
      <c r="E414" s="184" t="s">
        <v>315</v>
      </c>
      <c r="F414" s="184" t="s">
        <v>315</v>
      </c>
      <c r="G414" s="186">
        <f>IF(ALECA_Input!$F$13="ICAO (3000ft)",'Aircraft Calc'!C$211,'Aircraft Calc'!G$211)</f>
        <v>0.7</v>
      </c>
      <c r="H414" s="186">
        <f>IF(ALECA_Input!$F$13="ICAO (3000ft)",'Aircraft Calc'!D$211,'Aircraft Calc'!H$211)</f>
        <v>2.2000000000000002</v>
      </c>
      <c r="I414" s="186">
        <f>IF(ALECA_Input!$F$13="ICAO (3000ft)",'Aircraft Calc'!E$211,'Aircraft Calc'!I$211)</f>
        <v>4</v>
      </c>
      <c r="J414" s="189">
        <v>1</v>
      </c>
      <c r="K414" s="187">
        <f t="shared" si="73"/>
        <v>71.555400000000006</v>
      </c>
      <c r="L414" s="187">
        <f t="shared" si="74"/>
        <v>1.2163292880000001</v>
      </c>
      <c r="M414" s="187">
        <f t="shared" si="75"/>
        <v>0</v>
      </c>
      <c r="N414" s="187">
        <f t="shared" si="76"/>
        <v>0.28393728600000001</v>
      </c>
      <c r="O414" s="187">
        <f t="shared" si="77"/>
        <v>1.1561119274962315E-2</v>
      </c>
      <c r="P414" s="188">
        <f t="shared" si="78"/>
        <v>9.52717246745464E+16</v>
      </c>
      <c r="Q414" s="187">
        <f t="shared" si="79"/>
        <v>2532</v>
      </c>
      <c r="R414" s="219">
        <f t="shared" si="80"/>
        <v>10.78632</v>
      </c>
      <c r="S414" s="219">
        <f t="shared" si="81"/>
        <v>11.039520000000001</v>
      </c>
      <c r="T414" s="219">
        <f t="shared" si="82"/>
        <v>92.038200000000003</v>
      </c>
      <c r="U414" s="219">
        <f t="shared" si="83"/>
        <v>0.33128549578682298</v>
      </c>
      <c r="V414" s="188">
        <f t="shared" si="84"/>
        <v>7023931536240008</v>
      </c>
      <c r="W414" s="323">
        <v>0.31709999999999999</v>
      </c>
      <c r="X414" s="323">
        <v>0.2641</v>
      </c>
      <c r="Y414" s="323">
        <v>9.74E-2</v>
      </c>
      <c r="Z414" s="323">
        <v>4.2200000000000001E-2</v>
      </c>
      <c r="AA414" s="323">
        <v>20.079999999999998</v>
      </c>
      <c r="AB414" s="323">
        <v>19.260000000000002</v>
      </c>
      <c r="AC414" s="323">
        <v>11.87</v>
      </c>
      <c r="AD414" s="323">
        <v>4.26</v>
      </c>
      <c r="AE414" s="323">
        <v>0</v>
      </c>
      <c r="AF414" s="323">
        <v>0</v>
      </c>
      <c r="AG414" s="323">
        <v>0</v>
      </c>
      <c r="AH414" s="323">
        <v>4.3600000000000003</v>
      </c>
      <c r="AI414" s="323">
        <v>2.27</v>
      </c>
      <c r="AJ414" s="323">
        <v>2.5099999999999998</v>
      </c>
      <c r="AK414" s="323">
        <v>7.11</v>
      </c>
      <c r="AL414" s="323">
        <v>36.35</v>
      </c>
      <c r="AM414" s="323">
        <v>0.1502747674096569</v>
      </c>
      <c r="AN414" s="323">
        <v>0.14484848099465178</v>
      </c>
      <c r="AO414" s="323">
        <v>4.3069199948505693E-2</v>
      </c>
      <c r="AP414" s="323">
        <v>5.497825331233136E-2</v>
      </c>
      <c r="AQ414" s="323">
        <v>0.1992347674096569</v>
      </c>
      <c r="AR414" s="323">
        <v>0.19380848099465176</v>
      </c>
      <c r="AS414" s="323">
        <v>9.2029199948505697E-2</v>
      </c>
      <c r="AT414" s="323">
        <v>0.13083945331233135</v>
      </c>
      <c r="AU414" s="190">
        <v>947810919752742.5</v>
      </c>
      <c r="AV414" s="190">
        <v>913586321661517.75</v>
      </c>
      <c r="AW414" s="190">
        <v>2173163663859895.8</v>
      </c>
      <c r="AX414" s="190">
        <v>2774064587772515</v>
      </c>
      <c r="AY414" s="203">
        <v>1.5</v>
      </c>
      <c r="AZ414" s="239">
        <v>26.867000000000001</v>
      </c>
      <c r="BA414" s="203">
        <v>2000</v>
      </c>
      <c r="BB414" s="204">
        <v>39296</v>
      </c>
      <c r="BC414" s="203" t="s">
        <v>3119</v>
      </c>
    </row>
    <row r="415" spans="1:55" x14ac:dyDescent="0.2">
      <c r="A415" s="184" t="s">
        <v>1787</v>
      </c>
      <c r="B415" s="184" t="s">
        <v>1786</v>
      </c>
      <c r="C415" s="184" t="s">
        <v>723</v>
      </c>
      <c r="D415" s="185" t="s">
        <v>1043</v>
      </c>
      <c r="E415" s="184" t="s">
        <v>1044</v>
      </c>
      <c r="F415" s="184" t="s">
        <v>1044</v>
      </c>
      <c r="G415" s="186">
        <f>IF(ALECA_Input!$F$13="ICAO (3000ft)",'Aircraft Calc'!C$211,'Aircraft Calc'!G$211)</f>
        <v>0.7</v>
      </c>
      <c r="H415" s="186">
        <f>IF(ALECA_Input!$F$13="ICAO (3000ft)",'Aircraft Calc'!D$211,'Aircraft Calc'!H$211)</f>
        <v>2.2000000000000002</v>
      </c>
      <c r="I415" s="186">
        <f>IF(ALECA_Input!$F$13="ICAO (3000ft)",'Aircraft Calc'!E$211,'Aircraft Calc'!I$211)</f>
        <v>4</v>
      </c>
      <c r="J415" s="189">
        <v>1</v>
      </c>
      <c r="K415" s="187">
        <f t="shared" si="73"/>
        <v>74.477399999999989</v>
      </c>
      <c r="L415" s="187">
        <f t="shared" si="74"/>
        <v>1.0011164639999999</v>
      </c>
      <c r="M415" s="187">
        <f t="shared" si="75"/>
        <v>0</v>
      </c>
      <c r="N415" s="187">
        <f t="shared" si="76"/>
        <v>7.1880762000000001E-2</v>
      </c>
      <c r="O415" s="187">
        <f t="shared" si="77"/>
        <v>4.543204454996278E-3</v>
      </c>
      <c r="P415" s="188">
        <f t="shared" si="78"/>
        <v>1.9719532738786368E+16</v>
      </c>
      <c r="Q415" s="187">
        <f t="shared" si="79"/>
        <v>2682</v>
      </c>
      <c r="R415" s="219">
        <f t="shared" si="80"/>
        <v>5.9004000000000003</v>
      </c>
      <c r="S415" s="219">
        <f t="shared" si="81"/>
        <v>7.7509800000000002</v>
      </c>
      <c r="T415" s="219">
        <f t="shared" si="82"/>
        <v>88.693740000000005</v>
      </c>
      <c r="U415" s="219">
        <f t="shared" si="83"/>
        <v>0.44491925758714118</v>
      </c>
      <c r="V415" s="188">
        <f t="shared" si="84"/>
        <v>1.341084314320134E+16</v>
      </c>
      <c r="W415" s="323">
        <v>0.32850000000000001</v>
      </c>
      <c r="X415" s="323">
        <v>0.2737</v>
      </c>
      <c r="Y415" s="323">
        <v>0.1023</v>
      </c>
      <c r="Z415" s="323">
        <v>4.4699999999999997E-2</v>
      </c>
      <c r="AA415" s="323">
        <v>17.54</v>
      </c>
      <c r="AB415" s="323">
        <v>15.31</v>
      </c>
      <c r="AC415" s="323">
        <v>8.39</v>
      </c>
      <c r="AD415" s="323">
        <v>2.2000000000000002</v>
      </c>
      <c r="AE415" s="323">
        <v>0</v>
      </c>
      <c r="AF415" s="323">
        <v>0</v>
      </c>
      <c r="AG415" s="323">
        <v>0</v>
      </c>
      <c r="AH415" s="323">
        <v>2.89</v>
      </c>
      <c r="AI415" s="323">
        <v>0.23</v>
      </c>
      <c r="AJ415" s="323">
        <v>0.23</v>
      </c>
      <c r="AK415" s="323">
        <v>2.46</v>
      </c>
      <c r="AL415" s="323">
        <v>33.07</v>
      </c>
      <c r="AM415" s="323">
        <v>1.0177211941024736E-2</v>
      </c>
      <c r="AN415" s="323">
        <v>1.2119094061161325E-2</v>
      </c>
      <c r="AO415" s="323">
        <v>1.2973789506626731E-2</v>
      </c>
      <c r="AP415" s="323">
        <v>9.9099549212207746E-2</v>
      </c>
      <c r="AQ415" s="323">
        <v>5.9137211941024739E-2</v>
      </c>
      <c r="AR415" s="323">
        <v>6.1079094061161326E-2</v>
      </c>
      <c r="AS415" s="323">
        <v>6.1933789506626737E-2</v>
      </c>
      <c r="AT415" s="323">
        <v>0.16589084921220776</v>
      </c>
      <c r="AU415" s="190">
        <v>64189569390884.836</v>
      </c>
      <c r="AV415" s="190">
        <v>76437381249549.469</v>
      </c>
      <c r="AW415" s="190">
        <v>654624835661620.5</v>
      </c>
      <c r="AX415" s="190">
        <v>5000314371066868</v>
      </c>
      <c r="AY415" s="203">
        <v>1.2</v>
      </c>
      <c r="AZ415" s="239">
        <v>28.49</v>
      </c>
      <c r="BA415" s="203">
        <v>2005</v>
      </c>
      <c r="BB415" s="204">
        <v>39296</v>
      </c>
      <c r="BC415" s="203" t="s">
        <v>1788</v>
      </c>
    </row>
    <row r="416" spans="1:55" x14ac:dyDescent="0.2">
      <c r="A416" s="184" t="s">
        <v>1790</v>
      </c>
      <c r="B416" s="184" t="s">
        <v>1789</v>
      </c>
      <c r="C416" s="184" t="s">
        <v>723</v>
      </c>
      <c r="D416" s="185" t="s">
        <v>1043</v>
      </c>
      <c r="E416" s="184" t="s">
        <v>1791</v>
      </c>
      <c r="F416" s="184" t="s">
        <v>1792</v>
      </c>
      <c r="G416" s="186">
        <f>IF(ALECA_Input!$F$13="ICAO (3000ft)",'Aircraft Calc'!C$211,'Aircraft Calc'!G$211)</f>
        <v>0.7</v>
      </c>
      <c r="H416" s="186">
        <f>IF(ALECA_Input!$F$13="ICAO (3000ft)",'Aircraft Calc'!D$211,'Aircraft Calc'!H$211)</f>
        <v>2.2000000000000002</v>
      </c>
      <c r="I416" s="186">
        <f>IF(ALECA_Input!$F$13="ICAO (3000ft)",'Aircraft Calc'!E$211,'Aircraft Calc'!I$211)</f>
        <v>4</v>
      </c>
      <c r="J416" s="189">
        <v>1</v>
      </c>
      <c r="K416" s="187">
        <f t="shared" ref="K416:K479" si="109">(G416*W416*60+H416*X416*60+I416*Y416*60)</f>
        <v>83.903999999999996</v>
      </c>
      <c r="L416" s="187">
        <f t="shared" ref="L416:L479" si="110">(G416*W416*60*AA416+H416*X416*60*AB416+I416*Y416*60*AC416)/1000</f>
        <v>1.09236504</v>
      </c>
      <c r="M416" s="187">
        <f t="shared" ref="M416:M479" si="111">(G416*W416*60*AE416+H416*X416*60*AF416+I416*Y416*60*AG416)/1000</f>
        <v>0</v>
      </c>
      <c r="N416" s="187">
        <f t="shared" ref="N416:N479" si="112">(G416*W416*60*AI416+H416*X416*60*AJ416+I416*Y416*60*AK416)/1000</f>
        <v>0.14723987999999996</v>
      </c>
      <c r="O416" s="187">
        <f t="shared" ref="O416:O479" si="113">(G416*W416*60*AQ416+H416*X416*60*AR416+I416*Y416*60*AS416)/1000</f>
        <v>7.4843909678410118E-3</v>
      </c>
      <c r="P416" s="188">
        <f t="shared" ref="P416:P479" si="114">(G416*W416*60*AU416+H416*X416*60*AV416+I416*Y416*60*AW416)</f>
        <v>4.4660383224729752E+16</v>
      </c>
      <c r="Q416" s="187">
        <f t="shared" ref="Q416:Q479" si="115">J416*Z416*60*1000</f>
        <v>2940</v>
      </c>
      <c r="R416" s="219">
        <f t="shared" ref="R416:R479" si="116">J416*Z416*60*AD416</f>
        <v>10.3782</v>
      </c>
      <c r="S416" s="219">
        <f t="shared" ref="S416:S479" si="117">J416*Z416*60*AH416</f>
        <v>1.1466000000000001</v>
      </c>
      <c r="T416" s="219">
        <f t="shared" ref="T416:T479" si="118">J416*Z416*60*AL416</f>
        <v>108.92699999999999</v>
      </c>
      <c r="U416" s="219">
        <f t="shared" ref="U416:U479" si="119">J416*Z416*60*AT416</f>
        <v>0.43471435983578371</v>
      </c>
      <c r="V416" s="188">
        <f t="shared" ref="V416:V479" si="120">J416*Z416*60*AX416</f>
        <v>1.4314660225218954E+16</v>
      </c>
      <c r="W416" s="323">
        <v>0.37</v>
      </c>
      <c r="X416" s="323">
        <v>0.307</v>
      </c>
      <c r="Y416" s="323">
        <v>0.11600000000000001</v>
      </c>
      <c r="Z416" s="323">
        <v>4.9000000000000002E-2</v>
      </c>
      <c r="AA416" s="323">
        <v>19.100000000000001</v>
      </c>
      <c r="AB416" s="323">
        <v>14.96</v>
      </c>
      <c r="AC416" s="323">
        <v>6.8</v>
      </c>
      <c r="AD416" s="323">
        <v>3.53</v>
      </c>
      <c r="AE416" s="323">
        <v>0</v>
      </c>
      <c r="AF416" s="323">
        <v>0</v>
      </c>
      <c r="AG416" s="323">
        <v>0</v>
      </c>
      <c r="AH416" s="323">
        <v>0.39</v>
      </c>
      <c r="AI416" s="323">
        <v>0.5</v>
      </c>
      <c r="AJ416" s="323">
        <v>0.56999999999999995</v>
      </c>
      <c r="AK416" s="323">
        <v>4.18</v>
      </c>
      <c r="AL416" s="323">
        <v>37.049999999999997</v>
      </c>
      <c r="AM416" s="323">
        <v>4.5767800404406443E-2</v>
      </c>
      <c r="AN416" s="323">
        <v>5.2709909988821822E-2</v>
      </c>
      <c r="AO416" s="323">
        <v>1.9008732656951167E-2</v>
      </c>
      <c r="AP416" s="323">
        <v>9.6495727155028466E-2</v>
      </c>
      <c r="AQ416" s="323">
        <v>9.4727800404406426E-2</v>
      </c>
      <c r="AR416" s="323">
        <v>0.10166990998882183</v>
      </c>
      <c r="AS416" s="323">
        <v>6.7968732656951164E-2</v>
      </c>
      <c r="AT416" s="323">
        <v>0.14786202715502847</v>
      </c>
      <c r="AU416" s="190">
        <v>288666033187769.88</v>
      </c>
      <c r="AV416" s="190">
        <v>332451210058429.5</v>
      </c>
      <c r="AW416" s="190">
        <v>959132910653161.38</v>
      </c>
      <c r="AX416" s="190">
        <v>4868932049394202</v>
      </c>
      <c r="AY416" s="203">
        <v>1.4</v>
      </c>
      <c r="AZ416" s="239">
        <v>31.2</v>
      </c>
      <c r="BA416" s="203">
        <v>2012</v>
      </c>
      <c r="BB416" s="204">
        <v>43178</v>
      </c>
      <c r="BC416" s="203" t="s">
        <v>1793</v>
      </c>
    </row>
    <row r="417" spans="1:55" x14ac:dyDescent="0.2">
      <c r="A417" s="184" t="s">
        <v>1794</v>
      </c>
      <c r="B417" s="184" t="s">
        <v>1795</v>
      </c>
      <c r="C417" s="184" t="s">
        <v>723</v>
      </c>
      <c r="D417" s="185" t="s">
        <v>1043</v>
      </c>
      <c r="E417" s="184" t="s">
        <v>1796</v>
      </c>
      <c r="F417" s="184" t="s">
        <v>1796</v>
      </c>
      <c r="G417" s="186">
        <f>IF(ALECA_Input!$F$13="ICAO (3000ft)",'Aircraft Calc'!C$211,'Aircraft Calc'!G$211)</f>
        <v>0.7</v>
      </c>
      <c r="H417" s="186">
        <f>IF(ALECA_Input!$F$13="ICAO (3000ft)",'Aircraft Calc'!D$211,'Aircraft Calc'!H$211)</f>
        <v>2.2000000000000002</v>
      </c>
      <c r="I417" s="186">
        <f>IF(ALECA_Input!$F$13="ICAO (3000ft)",'Aircraft Calc'!E$211,'Aircraft Calc'!I$211)</f>
        <v>4</v>
      </c>
      <c r="J417" s="189">
        <v>1</v>
      </c>
      <c r="K417" s="187">
        <f t="shared" si="109"/>
        <v>217.30200000000002</v>
      </c>
      <c r="L417" s="187">
        <f t="shared" si="110"/>
        <v>2.5338320400000001</v>
      </c>
      <c r="M417" s="187">
        <f t="shared" si="111"/>
        <v>0.18002676000000004</v>
      </c>
      <c r="N417" s="187">
        <f t="shared" si="112"/>
        <v>0.99747479999999999</v>
      </c>
      <c r="O417" s="187">
        <f t="shared" si="113"/>
        <v>7.8385188812692422E-2</v>
      </c>
      <c r="P417" s="188">
        <f t="shared" si="114"/>
        <v>8.6984587161626957E+17</v>
      </c>
      <c r="Q417" s="187">
        <f t="shared" si="115"/>
        <v>7746</v>
      </c>
      <c r="R417" s="219">
        <f t="shared" si="116"/>
        <v>20.914200000000001</v>
      </c>
      <c r="S417" s="219">
        <f t="shared" si="117"/>
        <v>82.107599999999991</v>
      </c>
      <c r="T417" s="219">
        <f t="shared" si="118"/>
        <v>274.983</v>
      </c>
      <c r="U417" s="219">
        <f t="shared" si="119"/>
        <v>2.5781576424890411</v>
      </c>
      <c r="V417" s="188">
        <f t="shared" si="120"/>
        <v>8.5389691808751664E+16</v>
      </c>
      <c r="W417" s="323">
        <v>0.98919999999999997</v>
      </c>
      <c r="X417" s="323">
        <v>0.81130000000000002</v>
      </c>
      <c r="Y417" s="323">
        <v>0.28610000000000002</v>
      </c>
      <c r="Z417" s="323">
        <v>0.12909999999999999</v>
      </c>
      <c r="AA417" s="323">
        <v>17.100000000000001</v>
      </c>
      <c r="AB417" s="323">
        <v>13.5</v>
      </c>
      <c r="AC417" s="323">
        <v>5.5</v>
      </c>
      <c r="AD417" s="323">
        <v>2.7</v>
      </c>
      <c r="AE417" s="323">
        <v>0.4</v>
      </c>
      <c r="AF417" s="323">
        <v>0.5</v>
      </c>
      <c r="AG417" s="323">
        <v>1.6</v>
      </c>
      <c r="AH417" s="323">
        <v>10.6</v>
      </c>
      <c r="AI417" s="323">
        <v>1.5</v>
      </c>
      <c r="AJ417" s="323">
        <v>2</v>
      </c>
      <c r="AK417" s="323">
        <v>10.5</v>
      </c>
      <c r="AL417" s="323">
        <v>35.5</v>
      </c>
      <c r="AM417" s="323">
        <v>0.30424290955644628</v>
      </c>
      <c r="AN417" s="323">
        <v>0.29119372761371765</v>
      </c>
      <c r="AO417" s="323">
        <v>0.17128492186559585</v>
      </c>
      <c r="AP417" s="323">
        <v>0.21847528924464768</v>
      </c>
      <c r="AQ417" s="323">
        <v>0.39920290955644627</v>
      </c>
      <c r="AR417" s="323">
        <v>0.37815372761371768</v>
      </c>
      <c r="AS417" s="323">
        <v>0.31024492186559582</v>
      </c>
      <c r="AT417" s="323">
        <v>0.33283728924464773</v>
      </c>
      <c r="AU417" s="190">
        <v>1918916641200637.5</v>
      </c>
      <c r="AV417" s="190">
        <v>1836613022620132.3</v>
      </c>
      <c r="AW417" s="190">
        <v>8642606986209154</v>
      </c>
      <c r="AX417" s="190">
        <v>1.1023714408565926E+16</v>
      </c>
      <c r="AY417" s="203">
        <v>6.3</v>
      </c>
      <c r="AZ417" s="239">
        <v>62.27</v>
      </c>
      <c r="BA417" s="203">
        <v>1977</v>
      </c>
      <c r="BB417" s="204">
        <v>39296</v>
      </c>
      <c r="BC417" s="203" t="s">
        <v>3102</v>
      </c>
    </row>
    <row r="418" spans="1:55" x14ac:dyDescent="0.2">
      <c r="A418" s="184" t="s">
        <v>1794</v>
      </c>
      <c r="B418" s="184" t="s">
        <v>1797</v>
      </c>
      <c r="C418" s="184" t="s">
        <v>723</v>
      </c>
      <c r="D418" s="185" t="s">
        <v>1043</v>
      </c>
      <c r="E418" s="184" t="s">
        <v>1798</v>
      </c>
      <c r="F418" s="184" t="s">
        <v>1798</v>
      </c>
      <c r="G418" s="186">
        <f>IF(ALECA_Input!$F$13="ICAO (3000ft)",'Aircraft Calc'!C$211,'Aircraft Calc'!G$211)</f>
        <v>0.7</v>
      </c>
      <c r="H418" s="186">
        <f>IF(ALECA_Input!$F$13="ICAO (3000ft)",'Aircraft Calc'!D$211,'Aircraft Calc'!H$211)</f>
        <v>2.2000000000000002</v>
      </c>
      <c r="I418" s="186">
        <f>IF(ALECA_Input!$F$13="ICAO (3000ft)",'Aircraft Calc'!E$211,'Aircraft Calc'!I$211)</f>
        <v>4</v>
      </c>
      <c r="J418" s="189">
        <v>1</v>
      </c>
      <c r="K418" s="187">
        <f t="shared" si="109"/>
        <v>217.30200000000002</v>
      </c>
      <c r="L418" s="187">
        <f t="shared" si="110"/>
        <v>2.5338320400000001</v>
      </c>
      <c r="M418" s="187">
        <f t="shared" si="111"/>
        <v>0.18002676000000004</v>
      </c>
      <c r="N418" s="187">
        <f t="shared" si="112"/>
        <v>0.99747479999999999</v>
      </c>
      <c r="O418" s="187">
        <f t="shared" si="113"/>
        <v>7.8385188812692422E-2</v>
      </c>
      <c r="P418" s="188">
        <f t="shared" si="114"/>
        <v>8.6984587161626957E+17</v>
      </c>
      <c r="Q418" s="187">
        <f t="shared" si="115"/>
        <v>7746</v>
      </c>
      <c r="R418" s="219">
        <f t="shared" si="116"/>
        <v>20.914200000000001</v>
      </c>
      <c r="S418" s="219">
        <f t="shared" si="117"/>
        <v>82.107599999999991</v>
      </c>
      <c r="T418" s="219">
        <f t="shared" si="118"/>
        <v>274.983</v>
      </c>
      <c r="U418" s="219">
        <f t="shared" si="119"/>
        <v>2.5781576424890411</v>
      </c>
      <c r="V418" s="188">
        <f t="shared" si="120"/>
        <v>8.5389691808751664E+16</v>
      </c>
      <c r="W418" s="323">
        <v>0.98919999999999997</v>
      </c>
      <c r="X418" s="323">
        <v>0.81130000000000002</v>
      </c>
      <c r="Y418" s="323">
        <v>0.28610000000000002</v>
      </c>
      <c r="Z418" s="323">
        <v>0.12909999999999999</v>
      </c>
      <c r="AA418" s="323">
        <v>17.100000000000001</v>
      </c>
      <c r="AB418" s="323">
        <v>13.5</v>
      </c>
      <c r="AC418" s="323">
        <v>5.5</v>
      </c>
      <c r="AD418" s="323">
        <v>2.7</v>
      </c>
      <c r="AE418" s="323">
        <v>0.4</v>
      </c>
      <c r="AF418" s="323">
        <v>0.5</v>
      </c>
      <c r="AG418" s="323">
        <v>1.6</v>
      </c>
      <c r="AH418" s="323">
        <v>10.6</v>
      </c>
      <c r="AI418" s="323">
        <v>1.5</v>
      </c>
      <c r="AJ418" s="323">
        <v>2</v>
      </c>
      <c r="AK418" s="323">
        <v>10.5</v>
      </c>
      <c r="AL418" s="323">
        <v>35.5</v>
      </c>
      <c r="AM418" s="323">
        <v>0.30424290955644628</v>
      </c>
      <c r="AN418" s="323">
        <v>0.29119372761371765</v>
      </c>
      <c r="AO418" s="323">
        <v>0.17128492186559585</v>
      </c>
      <c r="AP418" s="323">
        <v>0.21847528924464768</v>
      </c>
      <c r="AQ418" s="323">
        <v>0.39920290955644627</v>
      </c>
      <c r="AR418" s="323">
        <v>0.37815372761371768</v>
      </c>
      <c r="AS418" s="323">
        <v>0.31024492186559582</v>
      </c>
      <c r="AT418" s="323">
        <v>0.33283728924464773</v>
      </c>
      <c r="AU418" s="190">
        <v>1918916641200637.5</v>
      </c>
      <c r="AV418" s="190">
        <v>1836613022620132.3</v>
      </c>
      <c r="AW418" s="190">
        <v>8642606986209154</v>
      </c>
      <c r="AX418" s="190">
        <v>1.1023714408565926E+16</v>
      </c>
      <c r="AY418" s="203">
        <v>6.3</v>
      </c>
      <c r="AZ418" s="239">
        <v>62.27</v>
      </c>
      <c r="BA418" s="203">
        <v>1977</v>
      </c>
      <c r="BB418" s="204">
        <v>35684</v>
      </c>
      <c r="BC418" s="203" t="s">
        <v>3102</v>
      </c>
    </row>
    <row r="419" spans="1:55" x14ac:dyDescent="0.2">
      <c r="A419" s="184" t="s">
        <v>1800</v>
      </c>
      <c r="B419" s="184" t="s">
        <v>1799</v>
      </c>
      <c r="C419" s="184" t="s">
        <v>723</v>
      </c>
      <c r="D419" s="185" t="s">
        <v>1043</v>
      </c>
      <c r="E419" s="184" t="s">
        <v>1801</v>
      </c>
      <c r="F419" s="184" t="s">
        <v>1801</v>
      </c>
      <c r="G419" s="186">
        <f>IF(ALECA_Input!$F$13="ICAO (3000ft)",'Aircraft Calc'!C$211,'Aircraft Calc'!G$211)</f>
        <v>0.7</v>
      </c>
      <c r="H419" s="186">
        <f>IF(ALECA_Input!$F$13="ICAO (3000ft)",'Aircraft Calc'!D$211,'Aircraft Calc'!H$211)</f>
        <v>2.2000000000000002</v>
      </c>
      <c r="I419" s="186">
        <f>IF(ALECA_Input!$F$13="ICAO (3000ft)",'Aircraft Calc'!E$211,'Aircraft Calc'!I$211)</f>
        <v>4</v>
      </c>
      <c r="J419" s="189">
        <v>1</v>
      </c>
      <c r="K419" s="187">
        <f t="shared" si="109"/>
        <v>226.70760000000001</v>
      </c>
      <c r="L419" s="187">
        <f t="shared" si="110"/>
        <v>2.8896162000000003</v>
      </c>
      <c r="M419" s="187">
        <f t="shared" si="111"/>
        <v>6.9505127999999999E-2</v>
      </c>
      <c r="N419" s="187">
        <f t="shared" si="112"/>
        <v>0.32217927600000007</v>
      </c>
      <c r="O419" s="187">
        <f t="shared" si="113"/>
        <v>4.0270083080639278E-2</v>
      </c>
      <c r="P419" s="188">
        <f t="shared" si="114"/>
        <v>3.6932710088565939E+17</v>
      </c>
      <c r="Q419" s="187">
        <f t="shared" si="115"/>
        <v>7938</v>
      </c>
      <c r="R419" s="219">
        <f t="shared" si="116"/>
        <v>23.020199999999999</v>
      </c>
      <c r="S419" s="219">
        <f t="shared" si="117"/>
        <v>24.766559999999998</v>
      </c>
      <c r="T419" s="219">
        <f t="shared" si="118"/>
        <v>112.24332</v>
      </c>
      <c r="U419" s="219">
        <f t="shared" si="119"/>
        <v>1.231327175001117</v>
      </c>
      <c r="V419" s="188">
        <f t="shared" si="120"/>
        <v>3.4809260007187612E+16</v>
      </c>
      <c r="W419" s="323">
        <v>1.04</v>
      </c>
      <c r="X419" s="323">
        <v>0.84530000000000005</v>
      </c>
      <c r="Y419" s="323">
        <v>0.29770000000000002</v>
      </c>
      <c r="Z419" s="323">
        <v>0.1323</v>
      </c>
      <c r="AA419" s="323">
        <v>19.3</v>
      </c>
      <c r="AB419" s="323">
        <v>14.5</v>
      </c>
      <c r="AC419" s="323">
        <v>6</v>
      </c>
      <c r="AD419" s="323">
        <v>2.9</v>
      </c>
      <c r="AE419" s="323">
        <v>0.15</v>
      </c>
      <c r="AF419" s="323">
        <v>0.18</v>
      </c>
      <c r="AG419" s="323">
        <v>0.6</v>
      </c>
      <c r="AH419" s="323">
        <v>3.12</v>
      </c>
      <c r="AI419" s="323">
        <v>1.04</v>
      </c>
      <c r="AJ419" s="323">
        <v>1.1100000000000001</v>
      </c>
      <c r="AK419" s="323">
        <v>2.14</v>
      </c>
      <c r="AL419" s="323">
        <v>14.14</v>
      </c>
      <c r="AM419" s="323">
        <v>0.12199903032839821</v>
      </c>
      <c r="AN419" s="323">
        <v>0.12799930645536869</v>
      </c>
      <c r="AO419" s="323">
        <v>6.8136140932249914E-2</v>
      </c>
      <c r="AP419" s="323">
        <v>8.6907661854512111E-2</v>
      </c>
      <c r="AQ419" s="323">
        <v>0.18820903032839822</v>
      </c>
      <c r="AR419" s="323">
        <v>0.1906393064553687</v>
      </c>
      <c r="AS419" s="323">
        <v>0.15084614093224991</v>
      </c>
      <c r="AT419" s="323">
        <v>0.1551180618545121</v>
      </c>
      <c r="AU419" s="190">
        <v>769470584700909.38</v>
      </c>
      <c r="AV419" s="190">
        <v>807315442708048.38</v>
      </c>
      <c r="AW419" s="190">
        <v>3437978551880201.5</v>
      </c>
      <c r="AX419" s="190">
        <v>4385142354143060.5</v>
      </c>
      <c r="AY419" s="203">
        <v>3.5</v>
      </c>
      <c r="AZ419" s="239">
        <v>64.5</v>
      </c>
      <c r="BA419" s="203">
        <v>1980</v>
      </c>
      <c r="BB419" s="204">
        <v>39296</v>
      </c>
      <c r="BC419" s="203" t="s">
        <v>3120</v>
      </c>
    </row>
    <row r="420" spans="1:55" x14ac:dyDescent="0.2">
      <c r="A420" s="184" t="s">
        <v>1800</v>
      </c>
      <c r="B420" s="184" t="s">
        <v>1802</v>
      </c>
      <c r="C420" s="184" t="s">
        <v>723</v>
      </c>
      <c r="D420" s="185" t="s">
        <v>1043</v>
      </c>
      <c r="E420" s="184" t="s">
        <v>1803</v>
      </c>
      <c r="F420" s="184" t="s">
        <v>1804</v>
      </c>
      <c r="G420" s="186">
        <f>IF(ALECA_Input!$F$13="ICAO (3000ft)",'Aircraft Calc'!C$211,'Aircraft Calc'!G$211)</f>
        <v>0.7</v>
      </c>
      <c r="H420" s="186">
        <f>IF(ALECA_Input!$F$13="ICAO (3000ft)",'Aircraft Calc'!D$211,'Aircraft Calc'!H$211)</f>
        <v>2.2000000000000002</v>
      </c>
      <c r="I420" s="186">
        <f>IF(ALECA_Input!$F$13="ICAO (3000ft)",'Aircraft Calc'!E$211,'Aircraft Calc'!I$211)</f>
        <v>4</v>
      </c>
      <c r="J420" s="189">
        <v>1</v>
      </c>
      <c r="K420" s="187">
        <f t="shared" si="109"/>
        <v>226.70760000000001</v>
      </c>
      <c r="L420" s="187">
        <f t="shared" si="110"/>
        <v>2.8896162000000003</v>
      </c>
      <c r="M420" s="187">
        <f t="shared" si="111"/>
        <v>6.9505127999999999E-2</v>
      </c>
      <c r="N420" s="187">
        <f t="shared" si="112"/>
        <v>0.32217927600000007</v>
      </c>
      <c r="O420" s="187">
        <f t="shared" si="113"/>
        <v>4.0270083080639278E-2</v>
      </c>
      <c r="P420" s="188">
        <f t="shared" si="114"/>
        <v>3.6932710088565939E+17</v>
      </c>
      <c r="Q420" s="187">
        <f t="shared" si="115"/>
        <v>7938</v>
      </c>
      <c r="R420" s="219">
        <f t="shared" si="116"/>
        <v>23.020199999999999</v>
      </c>
      <c r="S420" s="219">
        <f t="shared" si="117"/>
        <v>24.766559999999998</v>
      </c>
      <c r="T420" s="219">
        <f t="shared" si="118"/>
        <v>112.24332</v>
      </c>
      <c r="U420" s="219">
        <f t="shared" si="119"/>
        <v>1.231327175001117</v>
      </c>
      <c r="V420" s="188">
        <f t="shared" si="120"/>
        <v>3.4809260007187612E+16</v>
      </c>
      <c r="W420" s="323">
        <v>1.04</v>
      </c>
      <c r="X420" s="323">
        <v>0.84530000000000005</v>
      </c>
      <c r="Y420" s="323">
        <v>0.29770000000000002</v>
      </c>
      <c r="Z420" s="323">
        <v>0.1323</v>
      </c>
      <c r="AA420" s="323">
        <v>19.3</v>
      </c>
      <c r="AB420" s="323">
        <v>14.5</v>
      </c>
      <c r="AC420" s="323">
        <v>6</v>
      </c>
      <c r="AD420" s="323">
        <v>2.9</v>
      </c>
      <c r="AE420" s="323">
        <v>0.15</v>
      </c>
      <c r="AF420" s="323">
        <v>0.18</v>
      </c>
      <c r="AG420" s="323">
        <v>0.6</v>
      </c>
      <c r="AH420" s="323">
        <v>3.12</v>
      </c>
      <c r="AI420" s="323">
        <v>1.04</v>
      </c>
      <c r="AJ420" s="323">
        <v>1.1100000000000001</v>
      </c>
      <c r="AK420" s="323">
        <v>2.14</v>
      </c>
      <c r="AL420" s="323">
        <v>14.14</v>
      </c>
      <c r="AM420" s="323">
        <v>0.12199903032839821</v>
      </c>
      <c r="AN420" s="323">
        <v>0.12799930645536869</v>
      </c>
      <c r="AO420" s="323">
        <v>6.8136140932249914E-2</v>
      </c>
      <c r="AP420" s="323">
        <v>8.6907661854512111E-2</v>
      </c>
      <c r="AQ420" s="323">
        <v>0.18820903032839822</v>
      </c>
      <c r="AR420" s="323">
        <v>0.1906393064553687</v>
      </c>
      <c r="AS420" s="323">
        <v>0.15084614093224991</v>
      </c>
      <c r="AT420" s="323">
        <v>0.1551180618545121</v>
      </c>
      <c r="AU420" s="190">
        <v>769470584700909.38</v>
      </c>
      <c r="AV420" s="190">
        <v>807315442708048.38</v>
      </c>
      <c r="AW420" s="190">
        <v>3437978551880201.5</v>
      </c>
      <c r="AX420" s="190">
        <v>4385142354143060.5</v>
      </c>
      <c r="AY420" s="203">
        <v>3.5</v>
      </c>
      <c r="AZ420" s="239">
        <v>64.5</v>
      </c>
      <c r="BA420" s="203">
        <v>1980</v>
      </c>
      <c r="BB420" s="204">
        <v>35684</v>
      </c>
      <c r="BC420" s="203" t="s">
        <v>1109</v>
      </c>
    </row>
    <row r="421" spans="1:55" x14ac:dyDescent="0.2">
      <c r="A421" s="184" t="s">
        <v>1806</v>
      </c>
      <c r="B421" s="184" t="s">
        <v>1805</v>
      </c>
      <c r="C421" s="184" t="s">
        <v>723</v>
      </c>
      <c r="D421" s="185" t="s">
        <v>1043</v>
      </c>
      <c r="E421" s="184" t="s">
        <v>1807</v>
      </c>
      <c r="F421" s="184" t="s">
        <v>1807</v>
      </c>
      <c r="G421" s="186">
        <f>IF(ALECA_Input!$F$13="ICAO (3000ft)",'Aircraft Calc'!C$211,'Aircraft Calc'!G$211)</f>
        <v>0.7</v>
      </c>
      <c r="H421" s="186">
        <f>IF(ALECA_Input!$F$13="ICAO (3000ft)",'Aircraft Calc'!D$211,'Aircraft Calc'!H$211)</f>
        <v>2.2000000000000002</v>
      </c>
      <c r="I421" s="186">
        <f>IF(ALECA_Input!$F$13="ICAO (3000ft)",'Aircraft Calc'!E$211,'Aircraft Calc'!I$211)</f>
        <v>4</v>
      </c>
      <c r="J421" s="189">
        <v>1</v>
      </c>
      <c r="K421" s="187">
        <f t="shared" si="109"/>
        <v>247.81319999999999</v>
      </c>
      <c r="L421" s="187">
        <f t="shared" si="110"/>
        <v>3.1153285199999994</v>
      </c>
      <c r="M421" s="187">
        <f t="shared" si="111"/>
        <v>0.18529104000000002</v>
      </c>
      <c r="N421" s="187">
        <f t="shared" si="112"/>
        <v>1.0389076800000001</v>
      </c>
      <c r="O421" s="187">
        <f t="shared" si="113"/>
        <v>8.9457810062529036E-2</v>
      </c>
      <c r="P421" s="188">
        <f t="shared" si="114"/>
        <v>1.0126574422619827E+18</v>
      </c>
      <c r="Q421" s="187">
        <f t="shared" si="115"/>
        <v>8729.9999999999982</v>
      </c>
      <c r="R421" s="219">
        <f t="shared" si="116"/>
        <v>24.007499999999997</v>
      </c>
      <c r="S421" s="219">
        <f t="shared" si="117"/>
        <v>87.299999999999983</v>
      </c>
      <c r="T421" s="219">
        <f t="shared" si="118"/>
        <v>305.54999999999995</v>
      </c>
      <c r="U421" s="219">
        <f t="shared" si="119"/>
        <v>2.8683188324159992</v>
      </c>
      <c r="V421" s="188">
        <f t="shared" si="120"/>
        <v>9.5983112458810192E+16</v>
      </c>
      <c r="W421" s="323">
        <v>1.121</v>
      </c>
      <c r="X421" s="323">
        <v>0.91359999999999997</v>
      </c>
      <c r="Y421" s="323">
        <v>0.33389999999999997</v>
      </c>
      <c r="Z421" s="323">
        <v>0.14549999999999999</v>
      </c>
      <c r="AA421" s="323">
        <v>18.900000000000002</v>
      </c>
      <c r="AB421" s="323">
        <v>14.6</v>
      </c>
      <c r="AC421" s="323">
        <v>5.8</v>
      </c>
      <c r="AD421" s="323">
        <v>2.75</v>
      </c>
      <c r="AE421" s="323">
        <v>0.4</v>
      </c>
      <c r="AF421" s="323">
        <v>0.45</v>
      </c>
      <c r="AG421" s="323">
        <v>1.4000000000000001</v>
      </c>
      <c r="AH421" s="323">
        <v>10</v>
      </c>
      <c r="AI421" s="323">
        <v>1.2</v>
      </c>
      <c r="AJ421" s="323">
        <v>1.9000000000000001</v>
      </c>
      <c r="AK421" s="323">
        <v>9.4</v>
      </c>
      <c r="AL421" s="323">
        <v>35</v>
      </c>
      <c r="AM421" s="323">
        <v>0.31543005039861322</v>
      </c>
      <c r="AN421" s="323">
        <v>0.3000339996472382</v>
      </c>
      <c r="AO421" s="323">
        <v>0.17083832638767732</v>
      </c>
      <c r="AP421" s="323">
        <v>0.21789885823780061</v>
      </c>
      <c r="AQ421" s="323">
        <v>0.4103900503986132</v>
      </c>
      <c r="AR421" s="323">
        <v>0.38319399964723821</v>
      </c>
      <c r="AS421" s="323">
        <v>0.29854832638767731</v>
      </c>
      <c r="AT421" s="323">
        <v>0.32855885823780062</v>
      </c>
      <c r="AU421" s="190">
        <v>1989476020088994.8</v>
      </c>
      <c r="AV421" s="190">
        <v>1892370263249321</v>
      </c>
      <c r="AW421" s="190">
        <v>8620072899989371</v>
      </c>
      <c r="AX421" s="190">
        <v>1.0994629147630036E+16</v>
      </c>
      <c r="AY421" s="203">
        <v>7.5</v>
      </c>
      <c r="AZ421" s="239">
        <v>66.72</v>
      </c>
      <c r="BA421" s="203">
        <v>1977</v>
      </c>
      <c r="BB421" s="204">
        <v>35684</v>
      </c>
      <c r="BC421" s="203" t="s">
        <v>3102</v>
      </c>
    </row>
    <row r="422" spans="1:55" x14ac:dyDescent="0.2">
      <c r="A422" s="184" t="s">
        <v>1809</v>
      </c>
      <c r="B422" s="184" t="s">
        <v>1808</v>
      </c>
      <c r="C422" s="184" t="s">
        <v>723</v>
      </c>
      <c r="D422" s="185" t="s">
        <v>1043</v>
      </c>
      <c r="E422" s="184" t="s">
        <v>1810</v>
      </c>
      <c r="F422" s="184" t="s">
        <v>1810</v>
      </c>
      <c r="G422" s="186">
        <f>IF(ALECA_Input!$F$13="ICAO (3000ft)",'Aircraft Calc'!C$211,'Aircraft Calc'!G$211)</f>
        <v>0.7</v>
      </c>
      <c r="H422" s="186">
        <f>IF(ALECA_Input!$F$13="ICAO (3000ft)",'Aircraft Calc'!D$211,'Aircraft Calc'!H$211)</f>
        <v>2.2000000000000002</v>
      </c>
      <c r="I422" s="186">
        <f>IF(ALECA_Input!$F$13="ICAO (3000ft)",'Aircraft Calc'!E$211,'Aircraft Calc'!I$211)</f>
        <v>4</v>
      </c>
      <c r="J422" s="189">
        <v>1</v>
      </c>
      <c r="K422" s="187">
        <f t="shared" si="109"/>
        <v>255.864</v>
      </c>
      <c r="L422" s="187">
        <f t="shared" si="110"/>
        <v>3.4067796000000001</v>
      </c>
      <c r="M422" s="187">
        <f t="shared" si="111"/>
        <v>9.1707839999999999E-2</v>
      </c>
      <c r="N422" s="187">
        <f t="shared" si="112"/>
        <v>0.33892823999999994</v>
      </c>
      <c r="O422" s="187">
        <f t="shared" si="113"/>
        <v>6.1942124477815927E-2</v>
      </c>
      <c r="P422" s="188">
        <f t="shared" si="114"/>
        <v>7.3697356189796813E+17</v>
      </c>
      <c r="Q422" s="187">
        <f t="shared" si="115"/>
        <v>8862</v>
      </c>
      <c r="R422" s="219">
        <f t="shared" si="116"/>
        <v>28.358400000000003</v>
      </c>
      <c r="S422" s="219">
        <f t="shared" si="117"/>
        <v>12.93852</v>
      </c>
      <c r="T422" s="219">
        <f t="shared" si="118"/>
        <v>97.481999999999999</v>
      </c>
      <c r="U422" s="219">
        <f t="shared" si="119"/>
        <v>1.97678835202979</v>
      </c>
      <c r="V422" s="188">
        <f t="shared" si="120"/>
        <v>7.3823047879550432E+16</v>
      </c>
      <c r="W422" s="323">
        <v>1.1779999999999999</v>
      </c>
      <c r="X422" s="323">
        <v>0.94500000000000006</v>
      </c>
      <c r="Y422" s="323">
        <v>0.3402</v>
      </c>
      <c r="Z422" s="323">
        <v>0.1477</v>
      </c>
      <c r="AA422" s="323">
        <v>19.400000000000002</v>
      </c>
      <c r="AB422" s="323">
        <v>15.1</v>
      </c>
      <c r="AC422" s="323">
        <v>6.9</v>
      </c>
      <c r="AD422" s="323">
        <v>3.2</v>
      </c>
      <c r="AE422" s="323">
        <v>0.24</v>
      </c>
      <c r="AF422" s="323">
        <v>0.28000000000000003</v>
      </c>
      <c r="AG422" s="323">
        <v>0.55000000000000004</v>
      </c>
      <c r="AH422" s="323">
        <v>1.46</v>
      </c>
      <c r="AI422" s="323">
        <v>1.03</v>
      </c>
      <c r="AJ422" s="323">
        <v>1.1500000000000001</v>
      </c>
      <c r="AK422" s="323">
        <v>1.77</v>
      </c>
      <c r="AL422" s="323">
        <v>11</v>
      </c>
      <c r="AM422" s="323">
        <v>0.18459000447570958</v>
      </c>
      <c r="AN422" s="323">
        <v>0.18573053744816703</v>
      </c>
      <c r="AO422" s="323">
        <v>0.12943649489382919</v>
      </c>
      <c r="AP422" s="323">
        <v>0.16509525655944365</v>
      </c>
      <c r="AQ422" s="323">
        <v>0.26115000447570957</v>
      </c>
      <c r="AR422" s="323">
        <v>0.255970537448167</v>
      </c>
      <c r="AS422" s="323">
        <v>0.20933399489382917</v>
      </c>
      <c r="AT422" s="323">
        <v>0.22306345655944368</v>
      </c>
      <c r="AU422" s="190">
        <v>1164243504981410.5</v>
      </c>
      <c r="AV422" s="190">
        <v>1171437058658232</v>
      </c>
      <c r="AW422" s="190">
        <v>6531040460862238</v>
      </c>
      <c r="AX422" s="190">
        <v>8330292019809346</v>
      </c>
      <c r="AY422" s="203">
        <v>4.0999999999999996</v>
      </c>
      <c r="AZ422" s="239">
        <v>68.94</v>
      </c>
      <c r="BA422" s="203">
        <v>1980</v>
      </c>
      <c r="BB422" s="204">
        <v>39296</v>
      </c>
      <c r="BC422" s="203" t="s">
        <v>3121</v>
      </c>
    </row>
    <row r="423" spans="1:55" x14ac:dyDescent="0.2">
      <c r="A423" s="184" t="s">
        <v>1812</v>
      </c>
      <c r="B423" s="184" t="s">
        <v>1811</v>
      </c>
      <c r="C423" s="184" t="s">
        <v>723</v>
      </c>
      <c r="D423" s="185" t="s">
        <v>1043</v>
      </c>
      <c r="E423" s="184" t="s">
        <v>1813</v>
      </c>
      <c r="F423" s="184" t="s">
        <v>1814</v>
      </c>
      <c r="G423" s="186">
        <f>IF(ALECA_Input!$F$13="ICAO (3000ft)",'Aircraft Calc'!C$211,'Aircraft Calc'!G$211)</f>
        <v>0.7</v>
      </c>
      <c r="H423" s="186">
        <f>IF(ALECA_Input!$F$13="ICAO (3000ft)",'Aircraft Calc'!D$211,'Aircraft Calc'!H$211)</f>
        <v>2.2000000000000002</v>
      </c>
      <c r="I423" s="186">
        <f>IF(ALECA_Input!$F$13="ICAO (3000ft)",'Aircraft Calc'!E$211,'Aircraft Calc'!I$211)</f>
        <v>4</v>
      </c>
      <c r="J423" s="189">
        <v>1</v>
      </c>
      <c r="K423" s="187">
        <f t="shared" si="109"/>
        <v>239.916</v>
      </c>
      <c r="L423" s="187">
        <f t="shared" si="110"/>
        <v>2.9848944000000004</v>
      </c>
      <c r="M423" s="187">
        <f t="shared" si="111"/>
        <v>9.9387480000000014E-2</v>
      </c>
      <c r="N423" s="187">
        <f t="shared" si="112"/>
        <v>0.40957559999999998</v>
      </c>
      <c r="O423" s="187">
        <f t="shared" si="113"/>
        <v>6.0069679472620423E-2</v>
      </c>
      <c r="P423" s="188">
        <f t="shared" si="114"/>
        <v>6.9871877907596429E+17</v>
      </c>
      <c r="Q423" s="187">
        <f t="shared" si="115"/>
        <v>8232</v>
      </c>
      <c r="R423" s="219">
        <f t="shared" si="116"/>
        <v>25.519199999999998</v>
      </c>
      <c r="S423" s="219">
        <f t="shared" si="117"/>
        <v>15.31152</v>
      </c>
      <c r="T423" s="219">
        <f t="shared" si="118"/>
        <v>106.43975999999999</v>
      </c>
      <c r="U423" s="219">
        <f t="shared" si="119"/>
        <v>1.889896379139385</v>
      </c>
      <c r="V423" s="188">
        <f t="shared" si="120"/>
        <v>7.0256279516756496E+16</v>
      </c>
      <c r="W423" s="323">
        <v>1.115</v>
      </c>
      <c r="X423" s="323">
        <v>0.89549999999999996</v>
      </c>
      <c r="Y423" s="323">
        <v>0.312</v>
      </c>
      <c r="Z423" s="323">
        <v>0.13719999999999999</v>
      </c>
      <c r="AA423" s="323">
        <v>18.100000000000001</v>
      </c>
      <c r="AB423" s="323">
        <v>13.9</v>
      </c>
      <c r="AC423" s="323">
        <v>6.6000000000000005</v>
      </c>
      <c r="AD423" s="323">
        <v>3.1</v>
      </c>
      <c r="AE423" s="323">
        <v>0.25</v>
      </c>
      <c r="AF423" s="323">
        <v>0.33</v>
      </c>
      <c r="AG423" s="323">
        <v>0.65</v>
      </c>
      <c r="AH423" s="323">
        <v>1.86</v>
      </c>
      <c r="AI423" s="323">
        <v>1.08</v>
      </c>
      <c r="AJ423" s="323">
        <v>1.2</v>
      </c>
      <c r="AK423" s="323">
        <v>2.9</v>
      </c>
      <c r="AL423" s="323">
        <v>12.93</v>
      </c>
      <c r="AM423" s="323">
        <v>0.18908788943793936</v>
      </c>
      <c r="AN423" s="323">
        <v>0.19026192006739739</v>
      </c>
      <c r="AO423" s="323">
        <v>0.13260599287867175</v>
      </c>
      <c r="AP423" s="323">
        <v>0.16914304916659195</v>
      </c>
      <c r="AQ423" s="323">
        <v>0.26679788943793936</v>
      </c>
      <c r="AR423" s="323">
        <v>0.26430192006739739</v>
      </c>
      <c r="AS423" s="323">
        <v>0.21812849287867178</v>
      </c>
      <c r="AT423" s="323">
        <v>0.22957924916659198</v>
      </c>
      <c r="AU423" s="190">
        <v>1192612502361865.5</v>
      </c>
      <c r="AV423" s="190">
        <v>1200017331994315</v>
      </c>
      <c r="AW423" s="190">
        <v>6690965369185873</v>
      </c>
      <c r="AX423" s="190">
        <v>8534533468993744</v>
      </c>
      <c r="AY423" s="203">
        <v>3.6</v>
      </c>
      <c r="AZ423" s="239">
        <v>68.94</v>
      </c>
      <c r="BA423" s="203">
        <v>1980</v>
      </c>
      <c r="BB423" s="204">
        <v>39296</v>
      </c>
      <c r="BC423" s="203" t="s">
        <v>3102</v>
      </c>
    </row>
    <row r="424" spans="1:55" x14ac:dyDescent="0.2">
      <c r="A424" s="184" t="s">
        <v>1816</v>
      </c>
      <c r="B424" s="184" t="s">
        <v>1815</v>
      </c>
      <c r="C424" s="184" t="s">
        <v>723</v>
      </c>
      <c r="D424" s="185" t="s">
        <v>1043</v>
      </c>
      <c r="E424" s="184" t="s">
        <v>1817</v>
      </c>
      <c r="F424" s="184" t="s">
        <v>1817</v>
      </c>
      <c r="G424" s="186">
        <f>IF(ALECA_Input!$F$13="ICAO (3000ft)",'Aircraft Calc'!C$211,'Aircraft Calc'!G$211)</f>
        <v>0.7</v>
      </c>
      <c r="H424" s="186">
        <f>IF(ALECA_Input!$F$13="ICAO (3000ft)",'Aircraft Calc'!D$211,'Aircraft Calc'!H$211)</f>
        <v>2.2000000000000002</v>
      </c>
      <c r="I424" s="186">
        <f>IF(ALECA_Input!$F$13="ICAO (3000ft)",'Aircraft Calc'!E$211,'Aircraft Calc'!I$211)</f>
        <v>4</v>
      </c>
      <c r="J424" s="189">
        <v>1</v>
      </c>
      <c r="K424" s="187">
        <f t="shared" si="109"/>
        <v>268.85399999999998</v>
      </c>
      <c r="L424" s="187">
        <f t="shared" si="110"/>
        <v>3.8230368000000001</v>
      </c>
      <c r="M424" s="187">
        <f t="shared" si="111"/>
        <v>9.1216080000000005E-2</v>
      </c>
      <c r="N424" s="187">
        <f t="shared" si="112"/>
        <v>0.42128309999999997</v>
      </c>
      <c r="O424" s="187">
        <f t="shared" si="113"/>
        <v>6.7990606514701873E-2</v>
      </c>
      <c r="P424" s="188">
        <f t="shared" si="114"/>
        <v>8.2081868070308083E+17</v>
      </c>
      <c r="Q424" s="187">
        <f t="shared" si="115"/>
        <v>8844</v>
      </c>
      <c r="R424" s="219">
        <f t="shared" si="116"/>
        <v>28.300799999999999</v>
      </c>
      <c r="S424" s="219">
        <f t="shared" si="117"/>
        <v>11.055</v>
      </c>
      <c r="T424" s="219">
        <f t="shared" si="118"/>
        <v>92.508240000000001</v>
      </c>
      <c r="U424" s="219">
        <f t="shared" si="119"/>
        <v>2.0531606203540682</v>
      </c>
      <c r="V424" s="188">
        <f t="shared" si="120"/>
        <v>7.830745045091264E+16</v>
      </c>
      <c r="W424" s="323">
        <v>1.2450000000000001</v>
      </c>
      <c r="X424" s="323">
        <v>0.997</v>
      </c>
      <c r="Y424" s="323">
        <v>0.35399999999999998</v>
      </c>
      <c r="Z424" s="323">
        <v>0.1474</v>
      </c>
      <c r="AA424" s="323">
        <v>20.6</v>
      </c>
      <c r="AB424" s="323">
        <v>15.700000000000001</v>
      </c>
      <c r="AC424" s="323">
        <v>8</v>
      </c>
      <c r="AD424" s="323">
        <v>3.2</v>
      </c>
      <c r="AE424" s="323">
        <v>0.22</v>
      </c>
      <c r="AF424" s="323">
        <v>0.27</v>
      </c>
      <c r="AG424" s="323">
        <v>0.52</v>
      </c>
      <c r="AH424" s="323">
        <v>1.25</v>
      </c>
      <c r="AI424" s="323">
        <v>0.95000000000000007</v>
      </c>
      <c r="AJ424" s="323">
        <v>1.1000000000000001</v>
      </c>
      <c r="AK424" s="323">
        <v>2.67</v>
      </c>
      <c r="AL424" s="323">
        <v>10.46</v>
      </c>
      <c r="AM424" s="323">
        <v>0.19951780052757628</v>
      </c>
      <c r="AN424" s="323">
        <v>0.19906269968696993</v>
      </c>
      <c r="AO424" s="323">
        <v>0.13757945239537325</v>
      </c>
      <c r="AP424" s="323">
        <v>0.17548044214767844</v>
      </c>
      <c r="AQ424" s="323">
        <v>0.27377780052757628</v>
      </c>
      <c r="AR424" s="323">
        <v>0.26854269968696992</v>
      </c>
      <c r="AS424" s="323">
        <v>0.21578945239537323</v>
      </c>
      <c r="AT424" s="323">
        <v>0.23215294214767845</v>
      </c>
      <c r="AU424" s="190">
        <v>1258395892302902.5</v>
      </c>
      <c r="AV424" s="190">
        <v>1255525486620360.3</v>
      </c>
      <c r="AW424" s="190">
        <v>6941913645873071</v>
      </c>
      <c r="AX424" s="190">
        <v>8854302402862127</v>
      </c>
      <c r="AY424" s="203">
        <v>4.5999999999999996</v>
      </c>
      <c r="AZ424" s="239">
        <v>71.17</v>
      </c>
      <c r="BA424" s="203">
        <v>1980</v>
      </c>
      <c r="BB424" s="204">
        <v>39296</v>
      </c>
      <c r="BC424" s="203" t="s">
        <v>3121</v>
      </c>
    </row>
    <row r="425" spans="1:55" x14ac:dyDescent="0.2">
      <c r="A425" s="184" t="s">
        <v>1819</v>
      </c>
      <c r="B425" s="184" t="s">
        <v>1818</v>
      </c>
      <c r="C425" s="184" t="s">
        <v>723</v>
      </c>
      <c r="D425" s="185" t="s">
        <v>1043</v>
      </c>
      <c r="E425" s="184" t="s">
        <v>1820</v>
      </c>
      <c r="F425" s="184" t="s">
        <v>1821</v>
      </c>
      <c r="G425" s="186">
        <f>IF(ALECA_Input!$F$13="ICAO (3000ft)",'Aircraft Calc'!C$211,'Aircraft Calc'!G$211)</f>
        <v>0.7</v>
      </c>
      <c r="H425" s="186">
        <f>IF(ALECA_Input!$F$13="ICAO (3000ft)",'Aircraft Calc'!D$211,'Aircraft Calc'!H$211)</f>
        <v>2.2000000000000002</v>
      </c>
      <c r="I425" s="186">
        <f>IF(ALECA_Input!$F$13="ICAO (3000ft)",'Aircraft Calc'!E$211,'Aircraft Calc'!I$211)</f>
        <v>4</v>
      </c>
      <c r="J425" s="189">
        <v>1</v>
      </c>
      <c r="K425" s="187">
        <f t="shared" si="109"/>
        <v>251.90280000000001</v>
      </c>
      <c r="L425" s="187">
        <f t="shared" si="110"/>
        <v>3.2360372400000004</v>
      </c>
      <c r="M425" s="187">
        <f t="shared" si="111"/>
        <v>0.10006818000000001</v>
      </c>
      <c r="N425" s="187">
        <f t="shared" si="112"/>
        <v>0.42416242800000004</v>
      </c>
      <c r="O425" s="187">
        <f t="shared" si="113"/>
        <v>6.5374542611803657E-2</v>
      </c>
      <c r="P425" s="188">
        <f t="shared" si="114"/>
        <v>7.7863579800116429E+17</v>
      </c>
      <c r="Q425" s="187">
        <f t="shared" si="115"/>
        <v>8406</v>
      </c>
      <c r="R425" s="219">
        <f t="shared" si="116"/>
        <v>26.899200000000004</v>
      </c>
      <c r="S425" s="219">
        <f t="shared" si="117"/>
        <v>55.479600000000005</v>
      </c>
      <c r="T425" s="219">
        <f t="shared" si="118"/>
        <v>104.73876000000001</v>
      </c>
      <c r="U425" s="219">
        <f t="shared" si="119"/>
        <v>2.2507620833801707</v>
      </c>
      <c r="V425" s="188">
        <f t="shared" si="120"/>
        <v>7.5529572000486064E+16</v>
      </c>
      <c r="W425" s="323">
        <v>1.173</v>
      </c>
      <c r="X425" s="323">
        <v>0.93440000000000001</v>
      </c>
      <c r="Y425" s="323">
        <v>0.33040000000000003</v>
      </c>
      <c r="Z425" s="323">
        <v>0.1401</v>
      </c>
      <c r="AA425" s="323">
        <v>19.100000000000001</v>
      </c>
      <c r="AB425" s="323">
        <v>14.3</v>
      </c>
      <c r="AC425" s="323">
        <v>6.7</v>
      </c>
      <c r="AD425" s="323">
        <v>3.2</v>
      </c>
      <c r="AE425" s="323">
        <v>0.25</v>
      </c>
      <c r="AF425" s="323">
        <v>0.3</v>
      </c>
      <c r="AG425" s="323">
        <v>0.64</v>
      </c>
      <c r="AH425" s="323">
        <v>6.6000000000000005</v>
      </c>
      <c r="AI425" s="323">
        <v>1.07</v>
      </c>
      <c r="AJ425" s="323">
        <v>1.1599999999999999</v>
      </c>
      <c r="AK425" s="323">
        <v>2.88</v>
      </c>
      <c r="AL425" s="323">
        <v>12.46</v>
      </c>
      <c r="AM425" s="323">
        <v>0.20244906306635577</v>
      </c>
      <c r="AN425" s="323">
        <v>0.2019909816765339</v>
      </c>
      <c r="AO425" s="323">
        <v>0.13961073660723805</v>
      </c>
      <c r="AP425" s="323">
        <v>0.17807461234596364</v>
      </c>
      <c r="AQ425" s="323">
        <v>0.28015906306635574</v>
      </c>
      <c r="AR425" s="323">
        <v>0.27375098167653389</v>
      </c>
      <c r="AS425" s="323">
        <v>0.22457073660723803</v>
      </c>
      <c r="AT425" s="323">
        <v>0.26775661234596365</v>
      </c>
      <c r="AU425" s="190">
        <v>1276883910556449.8</v>
      </c>
      <c r="AV425" s="190">
        <v>1273994705995413.3</v>
      </c>
      <c r="AW425" s="190">
        <v>7044407145763357</v>
      </c>
      <c r="AX425" s="190">
        <v>8985197715975024</v>
      </c>
      <c r="AY425" s="203">
        <v>5.7</v>
      </c>
      <c r="AZ425" s="239">
        <v>71.17</v>
      </c>
      <c r="BA425" s="203">
        <v>1980</v>
      </c>
      <c r="BB425" s="204">
        <v>39296</v>
      </c>
      <c r="BC425" s="203" t="s">
        <v>3102</v>
      </c>
    </row>
    <row r="426" spans="1:55" x14ac:dyDescent="0.2">
      <c r="A426" s="184" t="s">
        <v>1823</v>
      </c>
      <c r="B426" s="184" t="s">
        <v>1822</v>
      </c>
      <c r="C426" s="184" t="s">
        <v>723</v>
      </c>
      <c r="D426" s="185" t="s">
        <v>1043</v>
      </c>
      <c r="E426" s="184" t="s">
        <v>1824</v>
      </c>
      <c r="F426" s="184" t="s">
        <v>1824</v>
      </c>
      <c r="G426" s="186">
        <f>IF(ALECA_Input!$F$13="ICAO (3000ft)",'Aircraft Calc'!C$211,'Aircraft Calc'!G$211)</f>
        <v>0.7</v>
      </c>
      <c r="H426" s="186">
        <f>IF(ALECA_Input!$F$13="ICAO (3000ft)",'Aircraft Calc'!D$211,'Aircraft Calc'!H$211)</f>
        <v>2.2000000000000002</v>
      </c>
      <c r="I426" s="186">
        <f>IF(ALECA_Input!$F$13="ICAO (3000ft)",'Aircraft Calc'!E$211,'Aircraft Calc'!I$211)</f>
        <v>4</v>
      </c>
      <c r="J426" s="189">
        <v>1</v>
      </c>
      <c r="K426" s="187">
        <f t="shared" si="109"/>
        <v>295.23</v>
      </c>
      <c r="L426" s="187">
        <f t="shared" si="110"/>
        <v>4.8252018000000003</v>
      </c>
      <c r="M426" s="187">
        <f t="shared" si="111"/>
        <v>9.9572460000000002E-2</v>
      </c>
      <c r="N426" s="187">
        <f t="shared" si="112"/>
        <v>0.43540698000000005</v>
      </c>
      <c r="O426" s="187">
        <f t="shared" si="113"/>
        <v>8.3708201894318462E-2</v>
      </c>
      <c r="P426" s="188">
        <f t="shared" si="114"/>
        <v>9.9557408887269453E+17</v>
      </c>
      <c r="Q426" s="187">
        <f t="shared" si="115"/>
        <v>9300</v>
      </c>
      <c r="R426" s="219">
        <f t="shared" si="116"/>
        <v>30.690000000000005</v>
      </c>
      <c r="S426" s="219">
        <f t="shared" si="117"/>
        <v>8.8350000000000009</v>
      </c>
      <c r="T426" s="219">
        <f t="shared" si="118"/>
        <v>87.698999999999998</v>
      </c>
      <c r="U426" s="219">
        <f t="shared" si="119"/>
        <v>2.3093800940406344</v>
      </c>
      <c r="V426" s="188">
        <f t="shared" si="120"/>
        <v>9.0800276238286432E+16</v>
      </c>
      <c r="W426" s="323">
        <v>1.417</v>
      </c>
      <c r="X426" s="323">
        <v>1.103</v>
      </c>
      <c r="Y426" s="323">
        <v>0.3755</v>
      </c>
      <c r="Z426" s="323">
        <v>0.155</v>
      </c>
      <c r="AA426" s="323">
        <v>25.3</v>
      </c>
      <c r="AB426" s="323">
        <v>17.600000000000001</v>
      </c>
      <c r="AC426" s="323">
        <v>8.4</v>
      </c>
      <c r="AD426" s="323">
        <v>3.3000000000000003</v>
      </c>
      <c r="AE426" s="323">
        <v>0.21</v>
      </c>
      <c r="AF426" s="323">
        <v>0.27</v>
      </c>
      <c r="AG426" s="323">
        <v>0.53</v>
      </c>
      <c r="AH426" s="323">
        <v>0.95000000000000007</v>
      </c>
      <c r="AI426" s="323">
        <v>0.95000000000000007</v>
      </c>
      <c r="AJ426" s="323">
        <v>1.03</v>
      </c>
      <c r="AK426" s="323">
        <v>2.54</v>
      </c>
      <c r="AL426" s="323">
        <v>9.43</v>
      </c>
      <c r="AM426" s="323">
        <v>0.24033205554063017</v>
      </c>
      <c r="AN426" s="323">
        <v>0.23466865847937871</v>
      </c>
      <c r="AO426" s="323">
        <v>0.15171111430214998</v>
      </c>
      <c r="AP426" s="323">
        <v>0.19349894021942302</v>
      </c>
      <c r="AQ426" s="323">
        <v>0.3134420555406302</v>
      </c>
      <c r="AR426" s="323">
        <v>0.30414865847937878</v>
      </c>
      <c r="AS426" s="323">
        <v>0.23048361430214998</v>
      </c>
      <c r="AT426" s="323">
        <v>0.24832044021942301</v>
      </c>
      <c r="AU426" s="190">
        <v>1515818992998779.3</v>
      </c>
      <c r="AV426" s="190">
        <v>1480098893942383.8</v>
      </c>
      <c r="AW426" s="190">
        <v>7654961814923765</v>
      </c>
      <c r="AX426" s="190">
        <v>9763470563256604</v>
      </c>
      <c r="AY426" s="203">
        <v>5.6</v>
      </c>
      <c r="AZ426" s="239">
        <v>77.42</v>
      </c>
      <c r="BA426" s="203">
        <v>1980</v>
      </c>
      <c r="BB426" s="204">
        <v>39296</v>
      </c>
      <c r="BC426" s="203" t="s">
        <v>3102</v>
      </c>
    </row>
    <row r="427" spans="1:55" x14ac:dyDescent="0.2">
      <c r="A427" s="184" t="s">
        <v>1826</v>
      </c>
      <c r="B427" s="184" t="s">
        <v>1825</v>
      </c>
      <c r="C427" s="184" t="s">
        <v>723</v>
      </c>
      <c r="D427" s="185" t="s">
        <v>1043</v>
      </c>
      <c r="E427" s="184" t="s">
        <v>1827</v>
      </c>
      <c r="F427" s="184" t="s">
        <v>1827</v>
      </c>
      <c r="G427" s="186">
        <f>IF(ALECA_Input!$F$13="ICAO (3000ft)",'Aircraft Calc'!C$211,'Aircraft Calc'!G$211)</f>
        <v>0.7</v>
      </c>
      <c r="H427" s="186">
        <f>IF(ALECA_Input!$F$13="ICAO (3000ft)",'Aircraft Calc'!D$211,'Aircraft Calc'!H$211)</f>
        <v>2.2000000000000002</v>
      </c>
      <c r="I427" s="186">
        <f>IF(ALECA_Input!$F$13="ICAO (3000ft)",'Aircraft Calc'!E$211,'Aircraft Calc'!I$211)</f>
        <v>4</v>
      </c>
      <c r="J427" s="189">
        <v>1</v>
      </c>
      <c r="K427" s="187">
        <f t="shared" si="109"/>
        <v>281.31</v>
      </c>
      <c r="L427" s="187">
        <f t="shared" si="110"/>
        <v>4.3020569999999996</v>
      </c>
      <c r="M427" s="187">
        <f t="shared" si="111"/>
        <v>9.6531180000000008E-2</v>
      </c>
      <c r="N427" s="187">
        <f t="shared" si="112"/>
        <v>0.43245690000000003</v>
      </c>
      <c r="O427" s="187">
        <f t="shared" si="113"/>
        <v>7.9572799475442116E-2</v>
      </c>
      <c r="P427" s="188">
        <f t="shared" si="114"/>
        <v>9.4329196615413722E+17</v>
      </c>
      <c r="Q427" s="187">
        <f t="shared" si="115"/>
        <v>8862</v>
      </c>
      <c r="R427" s="219">
        <f t="shared" si="116"/>
        <v>28.358400000000003</v>
      </c>
      <c r="S427" s="219">
        <f t="shared" si="117"/>
        <v>11.78646</v>
      </c>
      <c r="T427" s="219">
        <f t="shared" si="118"/>
        <v>94.823400000000007</v>
      </c>
      <c r="U427" s="219">
        <f t="shared" si="119"/>
        <v>2.2127300875042972</v>
      </c>
      <c r="V427" s="188">
        <f t="shared" si="120"/>
        <v>8.6086737733888816E+16</v>
      </c>
      <c r="W427" s="323">
        <v>1.365</v>
      </c>
      <c r="X427" s="323">
        <v>1.0469999999999999</v>
      </c>
      <c r="Y427" s="323">
        <v>0.3574</v>
      </c>
      <c r="Z427" s="323">
        <v>0.1477</v>
      </c>
      <c r="AA427" s="323">
        <v>24.5</v>
      </c>
      <c r="AB427" s="323">
        <v>16</v>
      </c>
      <c r="AC427" s="323">
        <v>8</v>
      </c>
      <c r="AD427" s="323">
        <v>3.2</v>
      </c>
      <c r="AE427" s="323">
        <v>0.21</v>
      </c>
      <c r="AF427" s="323">
        <v>0.27</v>
      </c>
      <c r="AG427" s="323">
        <v>0.55000000000000004</v>
      </c>
      <c r="AH427" s="323">
        <v>1.33</v>
      </c>
      <c r="AI427" s="323">
        <v>0.93</v>
      </c>
      <c r="AJ427" s="323">
        <v>1.08</v>
      </c>
      <c r="AK427" s="323">
        <v>2.68</v>
      </c>
      <c r="AL427" s="323">
        <v>10.700000000000001</v>
      </c>
      <c r="AM427" s="323">
        <v>0.23912554781062118</v>
      </c>
      <c r="AN427" s="323">
        <v>0.23348905173028447</v>
      </c>
      <c r="AO427" s="323">
        <v>0.15094563437473141</v>
      </c>
      <c r="AP427" s="323">
        <v>0.19252133934826191</v>
      </c>
      <c r="AQ427" s="323">
        <v>0.31223554781062118</v>
      </c>
      <c r="AR427" s="323">
        <v>0.30296905173028443</v>
      </c>
      <c r="AS427" s="323">
        <v>0.23084313437473142</v>
      </c>
      <c r="AT427" s="323">
        <v>0.2496874393482619</v>
      </c>
      <c r="AU427" s="190">
        <v>1508209324250124.8</v>
      </c>
      <c r="AV427" s="190">
        <v>1472658894685837.5</v>
      </c>
      <c r="AW427" s="190">
        <v>7616337620240115</v>
      </c>
      <c r="AX427" s="190">
        <v>9714143278479894</v>
      </c>
      <c r="AY427" s="203">
        <v>5</v>
      </c>
      <c r="AZ427" s="239">
        <v>77.42</v>
      </c>
      <c r="BA427" s="203">
        <v>1980</v>
      </c>
      <c r="BB427" s="204">
        <v>39296</v>
      </c>
      <c r="BC427" s="203" t="s">
        <v>3102</v>
      </c>
    </row>
    <row r="428" spans="1:55" x14ac:dyDescent="0.2">
      <c r="A428" s="184" t="s">
        <v>1829</v>
      </c>
      <c r="B428" s="184" t="s">
        <v>1828</v>
      </c>
      <c r="C428" s="184" t="s">
        <v>723</v>
      </c>
      <c r="D428" s="185" t="s">
        <v>1043</v>
      </c>
      <c r="E428" s="184" t="s">
        <v>1830</v>
      </c>
      <c r="F428" s="184" t="s">
        <v>1830</v>
      </c>
      <c r="G428" s="186">
        <f>IF(ALECA_Input!$F$13="ICAO (3000ft)",'Aircraft Calc'!C$211,'Aircraft Calc'!G$211)</f>
        <v>0.7</v>
      </c>
      <c r="H428" s="186">
        <f>IF(ALECA_Input!$F$13="ICAO (3000ft)",'Aircraft Calc'!D$211,'Aircraft Calc'!H$211)</f>
        <v>2.2000000000000002</v>
      </c>
      <c r="I428" s="186">
        <f>IF(ALECA_Input!$F$13="ICAO (3000ft)",'Aircraft Calc'!E$211,'Aircraft Calc'!I$211)</f>
        <v>4</v>
      </c>
      <c r="J428" s="189">
        <v>1</v>
      </c>
      <c r="K428" s="187">
        <f t="shared" si="109"/>
        <v>265.95960000000002</v>
      </c>
      <c r="L428" s="187">
        <f t="shared" si="110"/>
        <v>4.3639943999999993</v>
      </c>
      <c r="M428" s="187">
        <f t="shared" si="111"/>
        <v>0.22806402000000001</v>
      </c>
      <c r="N428" s="187">
        <f t="shared" si="112"/>
        <v>0.60987306000000008</v>
      </c>
      <c r="O428" s="187">
        <f t="shared" si="113"/>
        <v>7.097175887548049E-2</v>
      </c>
      <c r="P428" s="188">
        <f t="shared" si="114"/>
        <v>6.888935888822199E+17</v>
      </c>
      <c r="Q428" s="187">
        <f t="shared" si="115"/>
        <v>7818</v>
      </c>
      <c r="R428" s="219">
        <f t="shared" si="116"/>
        <v>27.363</v>
      </c>
      <c r="S428" s="219">
        <f t="shared" si="117"/>
        <v>31.506540000000001</v>
      </c>
      <c r="T428" s="219">
        <f t="shared" si="118"/>
        <v>110.23379999999999</v>
      </c>
      <c r="U428" s="219">
        <f t="shared" si="119"/>
        <v>1.6749609109312278</v>
      </c>
      <c r="V428" s="188">
        <f t="shared" si="120"/>
        <v>5.5392043199802984E+16</v>
      </c>
      <c r="W428" s="323">
        <v>1.1910000000000001</v>
      </c>
      <c r="X428" s="323">
        <v>0.98280000000000001</v>
      </c>
      <c r="Y428" s="323">
        <v>0.35920000000000002</v>
      </c>
      <c r="Z428" s="323">
        <v>0.1303</v>
      </c>
      <c r="AA428" s="323">
        <v>22.8</v>
      </c>
      <c r="AB428" s="323">
        <v>19</v>
      </c>
      <c r="AC428" s="323">
        <v>8.8000000000000007</v>
      </c>
      <c r="AD428" s="323">
        <v>3.5</v>
      </c>
      <c r="AE428" s="323">
        <v>0.35000000000000003</v>
      </c>
      <c r="AF428" s="323">
        <v>0.5</v>
      </c>
      <c r="AG428" s="323">
        <v>1.69</v>
      </c>
      <c r="AH428" s="323">
        <v>4.03</v>
      </c>
      <c r="AI428" s="323">
        <v>1.03</v>
      </c>
      <c r="AJ428" s="323">
        <v>1.4000000000000001</v>
      </c>
      <c r="AK428" s="323">
        <v>4.37</v>
      </c>
      <c r="AL428" s="323">
        <v>14.1</v>
      </c>
      <c r="AM428" s="323">
        <v>0.17991975425461879</v>
      </c>
      <c r="AN428" s="323">
        <v>0.18750399029019305</v>
      </c>
      <c r="AO428" s="323">
        <v>0.11005190879506897</v>
      </c>
      <c r="AP428" s="323">
        <v>0.14041906870442925</v>
      </c>
      <c r="AQ428" s="323">
        <v>0.26912975425461882</v>
      </c>
      <c r="AR428" s="323">
        <v>0.27446399029019308</v>
      </c>
      <c r="AS428" s="323">
        <v>0.25407440879506898</v>
      </c>
      <c r="AT428" s="323">
        <v>0.21424416870442925</v>
      </c>
      <c r="AU428" s="190">
        <v>1134787367841230.3</v>
      </c>
      <c r="AV428" s="190">
        <v>1182622555720134.3</v>
      </c>
      <c r="AW428" s="190">
        <v>5552942929467279</v>
      </c>
      <c r="AX428" s="190">
        <v>7085193553313250</v>
      </c>
      <c r="AY428" s="203">
        <v>5.0999999999999996</v>
      </c>
      <c r="AZ428" s="239">
        <v>85.600000000000009</v>
      </c>
      <c r="BA428" s="203">
        <v>1983</v>
      </c>
      <c r="BB428" s="204">
        <v>39296</v>
      </c>
      <c r="BC428" s="203" t="s">
        <v>3118</v>
      </c>
    </row>
    <row r="429" spans="1:55" x14ac:dyDescent="0.2">
      <c r="A429" s="184" t="s">
        <v>1832</v>
      </c>
      <c r="B429" s="184" t="s">
        <v>1831</v>
      </c>
      <c r="C429" s="184" t="s">
        <v>723</v>
      </c>
      <c r="D429" s="185" t="s">
        <v>1043</v>
      </c>
      <c r="E429" s="184" t="s">
        <v>1833</v>
      </c>
      <c r="F429" s="184" t="s">
        <v>1833</v>
      </c>
      <c r="G429" s="186">
        <f>IF(ALECA_Input!$F$13="ICAO (3000ft)",'Aircraft Calc'!C$211,'Aircraft Calc'!G$211)</f>
        <v>0.7</v>
      </c>
      <c r="H429" s="186">
        <f>IF(ALECA_Input!$F$13="ICAO (3000ft)",'Aircraft Calc'!D$211,'Aircraft Calc'!H$211)</f>
        <v>2.2000000000000002</v>
      </c>
      <c r="I429" s="186">
        <f>IF(ALECA_Input!$F$13="ICAO (3000ft)",'Aircraft Calc'!E$211,'Aircraft Calc'!I$211)</f>
        <v>4</v>
      </c>
      <c r="J429" s="189">
        <v>1</v>
      </c>
      <c r="K429" s="187">
        <f t="shared" si="109"/>
        <v>289.72800000000001</v>
      </c>
      <c r="L429" s="187">
        <f t="shared" si="110"/>
        <v>5.1932328000000005</v>
      </c>
      <c r="M429" s="187">
        <f t="shared" si="111"/>
        <v>0.22389767999999999</v>
      </c>
      <c r="N429" s="187">
        <f t="shared" si="112"/>
        <v>0.60298271999999997</v>
      </c>
      <c r="O429" s="187">
        <f t="shared" si="113"/>
        <v>8.3521360617074741E-2</v>
      </c>
      <c r="P429" s="188">
        <f t="shared" si="114"/>
        <v>9.2178203412120269E+17</v>
      </c>
      <c r="Q429" s="187">
        <f t="shared" si="115"/>
        <v>8232</v>
      </c>
      <c r="R429" s="219">
        <f t="shared" si="116"/>
        <v>30.458399999999997</v>
      </c>
      <c r="S429" s="219">
        <f t="shared" si="117"/>
        <v>27.412559999999999</v>
      </c>
      <c r="T429" s="219">
        <f t="shared" si="118"/>
        <v>101.00663999999999</v>
      </c>
      <c r="U429" s="219">
        <f t="shared" si="119"/>
        <v>2.0650426002680962</v>
      </c>
      <c r="V429" s="188">
        <f t="shared" si="120"/>
        <v>7.532638946704536E+16</v>
      </c>
      <c r="W429" s="323">
        <v>1.32</v>
      </c>
      <c r="X429" s="323">
        <v>1.0780000000000001</v>
      </c>
      <c r="Y429" s="323">
        <v>0.38329999999999997</v>
      </c>
      <c r="Z429" s="323">
        <v>0.13719999999999999</v>
      </c>
      <c r="AA429" s="323">
        <v>25.7</v>
      </c>
      <c r="AB429" s="323">
        <v>20.6</v>
      </c>
      <c r="AC429" s="323">
        <v>9.1</v>
      </c>
      <c r="AD429" s="323">
        <v>3.7</v>
      </c>
      <c r="AE429" s="323">
        <v>0.28000000000000003</v>
      </c>
      <c r="AF429" s="323">
        <v>0.43</v>
      </c>
      <c r="AG429" s="323">
        <v>1.6</v>
      </c>
      <c r="AH429" s="323">
        <v>3.33</v>
      </c>
      <c r="AI429" s="323">
        <v>0.8</v>
      </c>
      <c r="AJ429" s="323">
        <v>1.23</v>
      </c>
      <c r="AK429" s="323">
        <v>4.17</v>
      </c>
      <c r="AL429" s="323">
        <v>12.27</v>
      </c>
      <c r="AM429" s="323">
        <v>0.20526338511675796</v>
      </c>
      <c r="AN429" s="323">
        <v>0.21199898361741645</v>
      </c>
      <c r="AO429" s="323">
        <v>0.1421339574460582</v>
      </c>
      <c r="AP429" s="323">
        <v>0.18134941509573574</v>
      </c>
      <c r="AQ429" s="323">
        <v>0.28642338511675802</v>
      </c>
      <c r="AR429" s="323">
        <v>0.29363898361741642</v>
      </c>
      <c r="AS429" s="323">
        <v>0.2810939574460582</v>
      </c>
      <c r="AT429" s="323">
        <v>0.25085551509573573</v>
      </c>
      <c r="AU429" s="190">
        <v>1294634363390627.5</v>
      </c>
      <c r="AV429" s="190">
        <v>1337117036430413.5</v>
      </c>
      <c r="AW429" s="190">
        <v>7171722532382427</v>
      </c>
      <c r="AX429" s="190">
        <v>9150436038270818</v>
      </c>
      <c r="AY429" s="203">
        <v>6</v>
      </c>
      <c r="AZ429" s="239">
        <v>92.74</v>
      </c>
      <c r="BA429" s="203">
        <v>1983</v>
      </c>
      <c r="BB429" s="204">
        <v>39296</v>
      </c>
      <c r="BC429" s="203" t="s">
        <v>3118</v>
      </c>
    </row>
    <row r="430" spans="1:55" x14ac:dyDescent="0.2">
      <c r="A430" s="184" t="s">
        <v>1832</v>
      </c>
      <c r="B430" s="184" t="s">
        <v>1834</v>
      </c>
      <c r="C430" s="184" t="s">
        <v>723</v>
      </c>
      <c r="D430" s="185" t="s">
        <v>1043</v>
      </c>
      <c r="E430" s="184" t="s">
        <v>1835</v>
      </c>
      <c r="F430" s="184" t="s">
        <v>1835</v>
      </c>
      <c r="G430" s="186">
        <f>IF(ALECA_Input!$F$13="ICAO (3000ft)",'Aircraft Calc'!C$211,'Aircraft Calc'!G$211)</f>
        <v>0.7</v>
      </c>
      <c r="H430" s="186">
        <f>IF(ALECA_Input!$F$13="ICAO (3000ft)",'Aircraft Calc'!D$211,'Aircraft Calc'!H$211)</f>
        <v>2.2000000000000002</v>
      </c>
      <c r="I430" s="186">
        <f>IF(ALECA_Input!$F$13="ICAO (3000ft)",'Aircraft Calc'!E$211,'Aircraft Calc'!I$211)</f>
        <v>4</v>
      </c>
      <c r="J430" s="189">
        <v>1</v>
      </c>
      <c r="K430" s="187">
        <f t="shared" si="109"/>
        <v>289.72800000000001</v>
      </c>
      <c r="L430" s="187">
        <f t="shared" si="110"/>
        <v>5.1932328000000005</v>
      </c>
      <c r="M430" s="187">
        <f t="shared" si="111"/>
        <v>0.22389767999999999</v>
      </c>
      <c r="N430" s="187">
        <f t="shared" si="112"/>
        <v>0.60298271999999997</v>
      </c>
      <c r="O430" s="187">
        <f t="shared" si="113"/>
        <v>8.3606813939822541E-2</v>
      </c>
      <c r="P430" s="188">
        <f t="shared" si="114"/>
        <v>9.2232100412811494E+17</v>
      </c>
      <c r="Q430" s="187">
        <f t="shared" si="115"/>
        <v>8232</v>
      </c>
      <c r="R430" s="219">
        <f t="shared" si="116"/>
        <v>30.458399999999997</v>
      </c>
      <c r="S430" s="219">
        <f t="shared" si="117"/>
        <v>27.412559999999999</v>
      </c>
      <c r="T430" s="219">
        <f t="shared" si="118"/>
        <v>101.00663999999999</v>
      </c>
      <c r="U430" s="219">
        <f t="shared" si="119"/>
        <v>2.0650426002680962</v>
      </c>
      <c r="V430" s="188">
        <f t="shared" si="120"/>
        <v>7.532638946704536E+16</v>
      </c>
      <c r="W430" s="323">
        <v>1.32</v>
      </c>
      <c r="X430" s="323">
        <v>1.0780000000000001</v>
      </c>
      <c r="Y430" s="323">
        <v>0.38329999999999997</v>
      </c>
      <c r="Z430" s="323">
        <v>0.13719999999999999</v>
      </c>
      <c r="AA430" s="323">
        <v>25.7</v>
      </c>
      <c r="AB430" s="323">
        <v>20.6</v>
      </c>
      <c r="AC430" s="323">
        <v>9.1</v>
      </c>
      <c r="AD430" s="323">
        <v>3.7</v>
      </c>
      <c r="AE430" s="323">
        <v>0.28000000000000003</v>
      </c>
      <c r="AF430" s="323">
        <v>0.43</v>
      </c>
      <c r="AG430" s="323">
        <v>1.6</v>
      </c>
      <c r="AH430" s="323">
        <v>3.33</v>
      </c>
      <c r="AI430" s="323">
        <v>0.8</v>
      </c>
      <c r="AJ430" s="323">
        <v>1.23</v>
      </c>
      <c r="AK430" s="323">
        <v>4.17</v>
      </c>
      <c r="AL430" s="323">
        <v>12.27</v>
      </c>
      <c r="AM430" s="323">
        <v>0.20680475096718745</v>
      </c>
      <c r="AN430" s="323">
        <v>0.21199898361741645</v>
      </c>
      <c r="AO430" s="323">
        <v>0.1421339574460582</v>
      </c>
      <c r="AP430" s="323">
        <v>0.18134941509573574</v>
      </c>
      <c r="AQ430" s="323">
        <v>0.28796475096718743</v>
      </c>
      <c r="AR430" s="323">
        <v>0.29363898361741642</v>
      </c>
      <c r="AS430" s="323">
        <v>0.2810939574460582</v>
      </c>
      <c r="AT430" s="323">
        <v>0.25085551509573573</v>
      </c>
      <c r="AU430" s="190">
        <v>1304356044611990</v>
      </c>
      <c r="AV430" s="190">
        <v>1337117036430413.5</v>
      </c>
      <c r="AW430" s="190">
        <v>7171722532382427</v>
      </c>
      <c r="AX430" s="190">
        <v>9150436038270818</v>
      </c>
      <c r="AY430" s="203">
        <v>6</v>
      </c>
      <c r="AZ430" s="239">
        <v>92.74</v>
      </c>
      <c r="BA430" s="203">
        <v>1983</v>
      </c>
      <c r="BB430" s="204">
        <v>35684</v>
      </c>
      <c r="BC430" s="203" t="s">
        <v>3118</v>
      </c>
    </row>
    <row r="431" spans="1:55" x14ac:dyDescent="0.2">
      <c r="A431" s="184" t="s">
        <v>1832</v>
      </c>
      <c r="B431" s="184" t="s">
        <v>1836</v>
      </c>
      <c r="C431" s="184" t="s">
        <v>723</v>
      </c>
      <c r="D431" s="185" t="s">
        <v>1043</v>
      </c>
      <c r="E431" s="184" t="s">
        <v>1837</v>
      </c>
      <c r="F431" s="184" t="s">
        <v>1837</v>
      </c>
      <c r="G431" s="186">
        <f>IF(ALECA_Input!$F$13="ICAO (3000ft)",'Aircraft Calc'!C$211,'Aircraft Calc'!G$211)</f>
        <v>0.7</v>
      </c>
      <c r="H431" s="186">
        <f>IF(ALECA_Input!$F$13="ICAO (3000ft)",'Aircraft Calc'!D$211,'Aircraft Calc'!H$211)</f>
        <v>2.2000000000000002</v>
      </c>
      <c r="I431" s="186">
        <f>IF(ALECA_Input!$F$13="ICAO (3000ft)",'Aircraft Calc'!E$211,'Aircraft Calc'!I$211)</f>
        <v>4</v>
      </c>
      <c r="J431" s="189">
        <v>1</v>
      </c>
      <c r="K431" s="187">
        <f t="shared" si="109"/>
        <v>289.72800000000001</v>
      </c>
      <c r="L431" s="187">
        <f t="shared" si="110"/>
        <v>5.1932328000000005</v>
      </c>
      <c r="M431" s="187">
        <f t="shared" si="111"/>
        <v>0.22389767999999999</v>
      </c>
      <c r="N431" s="187">
        <f t="shared" si="112"/>
        <v>0.60298271999999997</v>
      </c>
      <c r="O431" s="187">
        <f t="shared" si="113"/>
        <v>8.3606813939822541E-2</v>
      </c>
      <c r="P431" s="188">
        <f t="shared" si="114"/>
        <v>9.2232100412811494E+17</v>
      </c>
      <c r="Q431" s="187">
        <f t="shared" si="115"/>
        <v>8232</v>
      </c>
      <c r="R431" s="219">
        <f t="shared" si="116"/>
        <v>30.458399999999997</v>
      </c>
      <c r="S431" s="219">
        <f t="shared" si="117"/>
        <v>27.412559999999999</v>
      </c>
      <c r="T431" s="219">
        <f t="shared" si="118"/>
        <v>101.00663999999999</v>
      </c>
      <c r="U431" s="219">
        <f t="shared" si="119"/>
        <v>2.0650426002680962</v>
      </c>
      <c r="V431" s="188">
        <f t="shared" si="120"/>
        <v>7.532638946704536E+16</v>
      </c>
      <c r="W431" s="323">
        <v>1.32</v>
      </c>
      <c r="X431" s="323">
        <v>1.0780000000000001</v>
      </c>
      <c r="Y431" s="323">
        <v>0.38329999999999997</v>
      </c>
      <c r="Z431" s="323">
        <v>0.13719999999999999</v>
      </c>
      <c r="AA431" s="323">
        <v>25.7</v>
      </c>
      <c r="AB431" s="323">
        <v>20.6</v>
      </c>
      <c r="AC431" s="323">
        <v>9.1</v>
      </c>
      <c r="AD431" s="323">
        <v>3.7</v>
      </c>
      <c r="AE431" s="323">
        <v>0.28000000000000003</v>
      </c>
      <c r="AF431" s="323">
        <v>0.43</v>
      </c>
      <c r="AG431" s="323">
        <v>1.6</v>
      </c>
      <c r="AH431" s="323">
        <v>3.33</v>
      </c>
      <c r="AI431" s="323">
        <v>0.8</v>
      </c>
      <c r="AJ431" s="323">
        <v>1.23</v>
      </c>
      <c r="AK431" s="323">
        <v>4.17</v>
      </c>
      <c r="AL431" s="323">
        <v>12.27</v>
      </c>
      <c r="AM431" s="323">
        <v>0.20680475096718745</v>
      </c>
      <c r="AN431" s="323">
        <v>0.21199898361741645</v>
      </c>
      <c r="AO431" s="323">
        <v>0.1421339574460582</v>
      </c>
      <c r="AP431" s="323">
        <v>0.18134941509573574</v>
      </c>
      <c r="AQ431" s="323">
        <v>0.28796475096718743</v>
      </c>
      <c r="AR431" s="323">
        <v>0.29363898361741642</v>
      </c>
      <c r="AS431" s="323">
        <v>0.2810939574460582</v>
      </c>
      <c r="AT431" s="323">
        <v>0.25085551509573573</v>
      </c>
      <c r="AU431" s="190">
        <v>1304356044611990</v>
      </c>
      <c r="AV431" s="190">
        <v>1337117036430413.5</v>
      </c>
      <c r="AW431" s="190">
        <v>7171722532382427</v>
      </c>
      <c r="AX431" s="190">
        <v>9150436038270818</v>
      </c>
      <c r="AY431" s="203">
        <v>6</v>
      </c>
      <c r="AZ431" s="239">
        <v>92.74</v>
      </c>
      <c r="BA431" s="203">
        <v>1983</v>
      </c>
      <c r="BB431" s="204">
        <v>35684</v>
      </c>
      <c r="BC431" s="203" t="s">
        <v>3118</v>
      </c>
    </row>
    <row r="432" spans="1:55" x14ac:dyDescent="0.2">
      <c r="A432" s="184" t="s">
        <v>1839</v>
      </c>
      <c r="B432" s="184" t="s">
        <v>1838</v>
      </c>
      <c r="C432" s="184" t="s">
        <v>723</v>
      </c>
      <c r="D432" s="185" t="s">
        <v>1043</v>
      </c>
      <c r="E432" s="184" t="s">
        <v>325</v>
      </c>
      <c r="F432" s="184" t="s">
        <v>1840</v>
      </c>
      <c r="G432" s="186">
        <f>IF(ALECA_Input!$F$13="ICAO (3000ft)",'Aircraft Calc'!C$211,'Aircraft Calc'!G$211)</f>
        <v>0.7</v>
      </c>
      <c r="H432" s="186">
        <f>IF(ALECA_Input!$F$13="ICAO (3000ft)",'Aircraft Calc'!D$211,'Aircraft Calc'!H$211)</f>
        <v>2.2000000000000002</v>
      </c>
      <c r="I432" s="186">
        <f>IF(ALECA_Input!$F$13="ICAO (3000ft)",'Aircraft Calc'!E$211,'Aircraft Calc'!I$211)</f>
        <v>4</v>
      </c>
      <c r="J432" s="189">
        <v>1</v>
      </c>
      <c r="K432" s="187">
        <f t="shared" si="109"/>
        <v>291.69599999999997</v>
      </c>
      <c r="L432" s="187">
        <f t="shared" si="110"/>
        <v>5.3507930400000001</v>
      </c>
      <c r="M432" s="187">
        <f t="shared" si="111"/>
        <v>0.22116348</v>
      </c>
      <c r="N432" s="187">
        <f t="shared" si="112"/>
        <v>0.58622219999999992</v>
      </c>
      <c r="O432" s="187">
        <f t="shared" si="113"/>
        <v>8.8309721769953289E-2</v>
      </c>
      <c r="P432" s="188">
        <f t="shared" si="114"/>
        <v>1.0112617524407375E+18</v>
      </c>
      <c r="Q432" s="187">
        <f t="shared" si="115"/>
        <v>8064</v>
      </c>
      <c r="R432" s="219">
        <f t="shared" si="116"/>
        <v>29.0304</v>
      </c>
      <c r="S432" s="219">
        <f t="shared" si="117"/>
        <v>28.062719999999999</v>
      </c>
      <c r="T432" s="219">
        <f t="shared" si="118"/>
        <v>101.84832</v>
      </c>
      <c r="U432" s="219">
        <f t="shared" si="119"/>
        <v>2.1858659867264483</v>
      </c>
      <c r="V432" s="188">
        <f t="shared" si="120"/>
        <v>8.1635451509541328E+16</v>
      </c>
      <c r="W432" s="323">
        <v>1.3540000000000001</v>
      </c>
      <c r="X432" s="323">
        <v>1.085</v>
      </c>
      <c r="Y432" s="323">
        <v>0.38169999999999998</v>
      </c>
      <c r="Z432" s="323">
        <v>0.13439999999999999</v>
      </c>
      <c r="AA432" s="323">
        <v>27</v>
      </c>
      <c r="AB432" s="323">
        <v>20.8</v>
      </c>
      <c r="AC432" s="323">
        <v>9.1300000000000008</v>
      </c>
      <c r="AD432" s="323">
        <v>3.6</v>
      </c>
      <c r="AE432" s="323">
        <v>0.27</v>
      </c>
      <c r="AF432" s="323">
        <v>0.42</v>
      </c>
      <c r="AG432" s="323">
        <v>1.59</v>
      </c>
      <c r="AH432" s="323">
        <v>3.48</v>
      </c>
      <c r="AI432" s="323">
        <v>0.73</v>
      </c>
      <c r="AJ432" s="323">
        <v>1.2</v>
      </c>
      <c r="AK432" s="323">
        <v>4.07</v>
      </c>
      <c r="AL432" s="323">
        <v>12.63</v>
      </c>
      <c r="AM432" s="323">
        <v>0.22045338117705843</v>
      </c>
      <c r="AN432" s="323">
        <v>0.22731266299407238</v>
      </c>
      <c r="AO432" s="323">
        <v>0.1572493541520969</v>
      </c>
      <c r="AP432" s="323">
        <v>0.20063313049683137</v>
      </c>
      <c r="AQ432" s="323">
        <v>0.3004633811770584</v>
      </c>
      <c r="AR432" s="323">
        <v>0.30819266299407239</v>
      </c>
      <c r="AS432" s="323">
        <v>0.29564685415209691</v>
      </c>
      <c r="AT432" s="323">
        <v>0.27106473049683139</v>
      </c>
      <c r="AU432" s="190">
        <v>1390440494952996</v>
      </c>
      <c r="AV432" s="190">
        <v>1433703261682851.3</v>
      </c>
      <c r="AW432" s="190">
        <v>7934407488816835</v>
      </c>
      <c r="AX432" s="190">
        <v>1.012344388759193E+16</v>
      </c>
      <c r="AY432" s="203">
        <v>6.1</v>
      </c>
      <c r="AZ432" s="239">
        <v>96.52</v>
      </c>
      <c r="BA432" s="203">
        <v>1983</v>
      </c>
      <c r="BB432" s="204">
        <v>35684</v>
      </c>
      <c r="BC432" s="203" t="s">
        <v>3122</v>
      </c>
    </row>
    <row r="433" spans="1:55" x14ac:dyDescent="0.2">
      <c r="A433" s="184" t="s">
        <v>1842</v>
      </c>
      <c r="B433" s="184" t="s">
        <v>1841</v>
      </c>
      <c r="C433" s="184" t="s">
        <v>723</v>
      </c>
      <c r="D433" s="185" t="s">
        <v>1043</v>
      </c>
      <c r="E433" s="184" t="s">
        <v>1810</v>
      </c>
      <c r="F433" s="184" t="s">
        <v>1810</v>
      </c>
      <c r="G433" s="186">
        <f>IF(ALECA_Input!$F$13="ICAO (3000ft)",'Aircraft Calc'!C$211,'Aircraft Calc'!G$211)</f>
        <v>0.7</v>
      </c>
      <c r="H433" s="186">
        <f>IF(ALECA_Input!$F$13="ICAO (3000ft)",'Aircraft Calc'!D$211,'Aircraft Calc'!H$211)</f>
        <v>2.2000000000000002</v>
      </c>
      <c r="I433" s="186">
        <f>IF(ALECA_Input!$F$13="ICAO (3000ft)",'Aircraft Calc'!E$211,'Aircraft Calc'!I$211)</f>
        <v>4</v>
      </c>
      <c r="J433" s="189">
        <v>1</v>
      </c>
      <c r="K433" s="187">
        <f t="shared" si="109"/>
        <v>255.88800000000001</v>
      </c>
      <c r="L433" s="187">
        <f t="shared" si="110"/>
        <v>3.2979563999999999</v>
      </c>
      <c r="M433" s="187">
        <f t="shared" si="111"/>
        <v>0.17831280000000002</v>
      </c>
      <c r="N433" s="187">
        <f t="shared" si="112"/>
        <v>0.94342439999999994</v>
      </c>
      <c r="O433" s="187">
        <f t="shared" si="113"/>
        <v>9.5294829226493308E-2</v>
      </c>
      <c r="P433" s="188">
        <f t="shared" si="114"/>
        <v>1.0887547635612003E+18</v>
      </c>
      <c r="Q433" s="187">
        <f t="shared" si="115"/>
        <v>8862</v>
      </c>
      <c r="R433" s="219">
        <f t="shared" si="116"/>
        <v>26.585999999999999</v>
      </c>
      <c r="S433" s="219">
        <f t="shared" si="117"/>
        <v>97.481999999999999</v>
      </c>
      <c r="T433" s="219">
        <f t="shared" si="118"/>
        <v>311.94240000000002</v>
      </c>
      <c r="U433" s="219">
        <f t="shared" si="119"/>
        <v>3.0367600444570497</v>
      </c>
      <c r="V433" s="188">
        <f t="shared" si="120"/>
        <v>1.0098625259197298E+17</v>
      </c>
      <c r="W433" s="323">
        <v>1.1779999999999999</v>
      </c>
      <c r="X433" s="323">
        <v>0.94500000000000006</v>
      </c>
      <c r="Y433" s="323">
        <v>0.34029999999999999</v>
      </c>
      <c r="Z433" s="323">
        <v>0.1477</v>
      </c>
      <c r="AA433" s="323">
        <v>19.100000000000001</v>
      </c>
      <c r="AB433" s="323">
        <v>15</v>
      </c>
      <c r="AC433" s="323">
        <v>5.9</v>
      </c>
      <c r="AD433" s="323">
        <v>3</v>
      </c>
      <c r="AE433" s="323">
        <v>0.25</v>
      </c>
      <c r="AF433" s="323">
        <v>0.25</v>
      </c>
      <c r="AG433" s="323">
        <v>1.6500000000000001</v>
      </c>
      <c r="AH433" s="323">
        <v>11</v>
      </c>
      <c r="AI433" s="323">
        <v>0.70000000000000007</v>
      </c>
      <c r="AJ433" s="323">
        <v>1</v>
      </c>
      <c r="AK433" s="323">
        <v>9.6</v>
      </c>
      <c r="AL433" s="323">
        <v>35.200000000000003</v>
      </c>
      <c r="AM433" s="323">
        <v>0.34010187261068853</v>
      </c>
      <c r="AN433" s="323">
        <v>0.32151620928324109</v>
      </c>
      <c r="AO433" s="323">
        <v>0.17706267816651219</v>
      </c>
      <c r="AP433" s="323">
        <v>0.22584208806782327</v>
      </c>
      <c r="AQ433" s="323">
        <v>0.41781187261068853</v>
      </c>
      <c r="AR433" s="323">
        <v>0.38947620928324111</v>
      </c>
      <c r="AS433" s="323">
        <v>0.31883517816651219</v>
      </c>
      <c r="AT433" s="323">
        <v>0.34267208806782323</v>
      </c>
      <c r="AU433" s="190">
        <v>2145085793478672.3</v>
      </c>
      <c r="AV433" s="190">
        <v>2027862556628925.8</v>
      </c>
      <c r="AW433" s="190">
        <v>8934138058687889</v>
      </c>
      <c r="AX433" s="190">
        <v>1.1395424575939176E+16</v>
      </c>
      <c r="AY433" s="203">
        <v>8.8000000000000007</v>
      </c>
      <c r="AZ433" s="239">
        <v>68.94</v>
      </c>
      <c r="BA433" s="203">
        <v>1976</v>
      </c>
      <c r="BB433" s="204">
        <v>37448</v>
      </c>
      <c r="BC433" s="203" t="s">
        <v>3123</v>
      </c>
    </row>
    <row r="434" spans="1:55" x14ac:dyDescent="0.2">
      <c r="A434" s="184" t="s">
        <v>1844</v>
      </c>
      <c r="B434" s="184" t="s">
        <v>1843</v>
      </c>
      <c r="C434" s="184" t="s">
        <v>723</v>
      </c>
      <c r="D434" s="185" t="s">
        <v>1043</v>
      </c>
      <c r="E434" s="184" t="s">
        <v>1817</v>
      </c>
      <c r="F434" s="184" t="s">
        <v>1817</v>
      </c>
      <c r="G434" s="186">
        <f>IF(ALECA_Input!$F$13="ICAO (3000ft)",'Aircraft Calc'!C$211,'Aircraft Calc'!G$211)</f>
        <v>0.7</v>
      </c>
      <c r="H434" s="186">
        <f>IF(ALECA_Input!$F$13="ICAO (3000ft)",'Aircraft Calc'!D$211,'Aircraft Calc'!H$211)</f>
        <v>2.2000000000000002</v>
      </c>
      <c r="I434" s="186">
        <f>IF(ALECA_Input!$F$13="ICAO (3000ft)",'Aircraft Calc'!E$211,'Aircraft Calc'!I$211)</f>
        <v>4</v>
      </c>
      <c r="J434" s="189">
        <v>1</v>
      </c>
      <c r="K434" s="187">
        <f t="shared" si="109"/>
        <v>268.85399999999998</v>
      </c>
      <c r="L434" s="187">
        <f t="shared" si="110"/>
        <v>3.5265529199999999</v>
      </c>
      <c r="M434" s="187">
        <f t="shared" si="111"/>
        <v>0.30656886</v>
      </c>
      <c r="N434" s="187">
        <f t="shared" si="112"/>
        <v>0.89585700000000001</v>
      </c>
      <c r="O434" s="187">
        <f t="shared" si="113"/>
        <v>0.10990644696021772</v>
      </c>
      <c r="P434" s="188">
        <f t="shared" si="114"/>
        <v>1.1361308279561923E+18</v>
      </c>
      <c r="Q434" s="187">
        <f t="shared" si="115"/>
        <v>8820</v>
      </c>
      <c r="R434" s="219">
        <f t="shared" si="116"/>
        <v>29.106000000000002</v>
      </c>
      <c r="S434" s="219">
        <f t="shared" si="117"/>
        <v>89.964000000000013</v>
      </c>
      <c r="T434" s="219">
        <f t="shared" si="118"/>
        <v>273.42</v>
      </c>
      <c r="U434" s="219">
        <f t="shared" si="119"/>
        <v>2.9694296203654802</v>
      </c>
      <c r="V434" s="188">
        <f t="shared" si="120"/>
        <v>1.0003320932322733E+17</v>
      </c>
      <c r="W434" s="323">
        <v>1.2450000000000001</v>
      </c>
      <c r="X434" s="323">
        <v>0.997</v>
      </c>
      <c r="Y434" s="323">
        <v>0.35399999999999998</v>
      </c>
      <c r="Z434" s="323">
        <v>0.14699999999999999</v>
      </c>
      <c r="AA434" s="323">
        <v>19.2</v>
      </c>
      <c r="AB434" s="323">
        <v>15.23</v>
      </c>
      <c r="AC434" s="323">
        <v>6.1000000000000005</v>
      </c>
      <c r="AD434" s="323">
        <v>3.3000000000000003</v>
      </c>
      <c r="AE434" s="323">
        <v>0.69000000000000006</v>
      </c>
      <c r="AF434" s="323">
        <v>0.79</v>
      </c>
      <c r="AG434" s="323">
        <v>1.96</v>
      </c>
      <c r="AH434" s="323">
        <v>10.200000000000001</v>
      </c>
      <c r="AI434" s="323">
        <v>0.74</v>
      </c>
      <c r="AJ434" s="323">
        <v>1</v>
      </c>
      <c r="AK434" s="323">
        <v>8.5400000000000009</v>
      </c>
      <c r="AL434" s="323">
        <v>31</v>
      </c>
      <c r="AM434" s="323">
        <v>0.34192861161054744</v>
      </c>
      <c r="AN434" s="323">
        <v>0.32274041501666467</v>
      </c>
      <c r="AO434" s="323">
        <v>0.1762290817002008</v>
      </c>
      <c r="AP434" s="323">
        <v>0.22477602498474825</v>
      </c>
      <c r="AQ434" s="323">
        <v>0.47023861161054747</v>
      </c>
      <c r="AR434" s="323">
        <v>0.43174041501666466</v>
      </c>
      <c r="AS434" s="323">
        <v>0.33543908170020076</v>
      </c>
      <c r="AT434" s="323">
        <v>0.3366700249847483</v>
      </c>
      <c r="AU434" s="190">
        <v>2156607376253008.8</v>
      </c>
      <c r="AV434" s="190">
        <v>2035583849978192.8</v>
      </c>
      <c r="AW434" s="190">
        <v>8892076874522039</v>
      </c>
      <c r="AX434" s="190">
        <v>1.1341633710116476E+16</v>
      </c>
      <c r="AY434" s="203">
        <v>9</v>
      </c>
      <c r="AZ434" s="239">
        <v>71.17</v>
      </c>
      <c r="BA434" s="203">
        <v>1976</v>
      </c>
      <c r="BB434" s="204">
        <v>37448</v>
      </c>
      <c r="BC434" s="203" t="s">
        <v>3123</v>
      </c>
    </row>
    <row r="435" spans="1:55" x14ac:dyDescent="0.2">
      <c r="A435" s="184" t="s">
        <v>1846</v>
      </c>
      <c r="B435" s="184" t="s">
        <v>1845</v>
      </c>
      <c r="C435" s="184" t="s">
        <v>723</v>
      </c>
      <c r="D435" s="185" t="s">
        <v>1043</v>
      </c>
      <c r="E435" s="184" t="s">
        <v>1833</v>
      </c>
      <c r="F435" s="184" t="s">
        <v>1833</v>
      </c>
      <c r="G435" s="186">
        <f>IF(ALECA_Input!$F$13="ICAO (3000ft)",'Aircraft Calc'!C$211,'Aircraft Calc'!G$211)</f>
        <v>0.7</v>
      </c>
      <c r="H435" s="186">
        <f>IF(ALECA_Input!$F$13="ICAO (3000ft)",'Aircraft Calc'!D$211,'Aircraft Calc'!H$211)</f>
        <v>2.2000000000000002</v>
      </c>
      <c r="I435" s="186">
        <f>IF(ALECA_Input!$F$13="ICAO (3000ft)",'Aircraft Calc'!E$211,'Aircraft Calc'!I$211)</f>
        <v>4</v>
      </c>
      <c r="J435" s="189">
        <v>1</v>
      </c>
      <c r="K435" s="187">
        <f t="shared" si="109"/>
        <v>289.72800000000001</v>
      </c>
      <c r="L435" s="187">
        <f t="shared" si="110"/>
        <v>3.6037641600000003</v>
      </c>
      <c r="M435" s="187">
        <f t="shared" si="111"/>
        <v>0</v>
      </c>
      <c r="N435" s="187">
        <f t="shared" si="112"/>
        <v>0.41581559999999995</v>
      </c>
      <c r="O435" s="187">
        <f t="shared" si="113"/>
        <v>4.16868060162289E-2</v>
      </c>
      <c r="P435" s="188">
        <f t="shared" si="114"/>
        <v>3.2869293510816269E+17</v>
      </c>
      <c r="Q435" s="187">
        <f t="shared" si="115"/>
        <v>8232</v>
      </c>
      <c r="R435" s="219">
        <f t="shared" si="116"/>
        <v>37.620240000000003</v>
      </c>
      <c r="S435" s="219">
        <f t="shared" si="117"/>
        <v>0</v>
      </c>
      <c r="T435" s="219">
        <f t="shared" si="118"/>
        <v>126.03192</v>
      </c>
      <c r="U435" s="219">
        <f t="shared" si="119"/>
        <v>0.80448555249284537</v>
      </c>
      <c r="V435" s="188">
        <f t="shared" si="120"/>
        <v>2.0255998959538848E+16</v>
      </c>
      <c r="W435" s="323">
        <v>1.32</v>
      </c>
      <c r="X435" s="323">
        <v>1.0780000000000001</v>
      </c>
      <c r="Y435" s="323">
        <v>0.38329999999999997</v>
      </c>
      <c r="Z435" s="323">
        <v>0.13719999999999999</v>
      </c>
      <c r="AA435" s="323">
        <v>17.54</v>
      </c>
      <c r="AB435" s="323">
        <v>13.540000000000001</v>
      </c>
      <c r="AC435" s="323">
        <v>7.66</v>
      </c>
      <c r="AD435" s="323">
        <v>4.57</v>
      </c>
      <c r="AE435" s="323">
        <v>0</v>
      </c>
      <c r="AF435" s="323">
        <v>0</v>
      </c>
      <c r="AG435" s="323">
        <v>0</v>
      </c>
      <c r="AH435" s="323">
        <v>0</v>
      </c>
      <c r="AI435" s="323">
        <v>0.42</v>
      </c>
      <c r="AJ435" s="323">
        <v>0.47000000000000003</v>
      </c>
      <c r="AK435" s="323">
        <v>3.54</v>
      </c>
      <c r="AL435" s="323">
        <v>15.31</v>
      </c>
      <c r="AM435" s="323">
        <v>0.1171244393843983</v>
      </c>
      <c r="AN435" s="323">
        <v>0.12292895951814148</v>
      </c>
      <c r="AO435" s="323">
        <v>3.822120394343418E-2</v>
      </c>
      <c r="AP435" s="323">
        <v>4.8766622022940409E-2</v>
      </c>
      <c r="AQ435" s="323">
        <v>0.16608443938439832</v>
      </c>
      <c r="AR435" s="323">
        <v>0.17188895951814148</v>
      </c>
      <c r="AS435" s="323">
        <v>8.7181203943434177E-2</v>
      </c>
      <c r="AT435" s="323">
        <v>9.7726622022940413E-2</v>
      </c>
      <c r="AU435" s="190">
        <v>738725632599562.38</v>
      </c>
      <c r="AV435" s="190">
        <v>775335821133002.75</v>
      </c>
      <c r="AW435" s="190">
        <v>1928545960875959.3</v>
      </c>
      <c r="AX435" s="190">
        <v>2460641273024641.5</v>
      </c>
      <c r="AY435" s="203">
        <v>4.5999999999999996</v>
      </c>
      <c r="AZ435" s="239">
        <v>92.74</v>
      </c>
      <c r="BA435" s="203">
        <v>1999</v>
      </c>
      <c r="BB435" s="204">
        <v>39296</v>
      </c>
      <c r="BC435" s="203" t="s">
        <v>3124</v>
      </c>
    </row>
    <row r="436" spans="1:55" x14ac:dyDescent="0.2">
      <c r="A436" s="184" t="s">
        <v>1848</v>
      </c>
      <c r="B436" s="184" t="s">
        <v>1847</v>
      </c>
      <c r="C436" s="184" t="s">
        <v>723</v>
      </c>
      <c r="D436" s="185" t="s">
        <v>1043</v>
      </c>
      <c r="E436" s="184" t="s">
        <v>1835</v>
      </c>
      <c r="F436" s="184" t="s">
        <v>1835</v>
      </c>
      <c r="G436" s="186">
        <f>IF(ALECA_Input!$F$13="ICAO (3000ft)",'Aircraft Calc'!C$211,'Aircraft Calc'!G$211)</f>
        <v>0.7</v>
      </c>
      <c r="H436" s="186">
        <f>IF(ALECA_Input!$F$13="ICAO (3000ft)",'Aircraft Calc'!D$211,'Aircraft Calc'!H$211)</f>
        <v>2.2000000000000002</v>
      </c>
      <c r="I436" s="186">
        <f>IF(ALECA_Input!$F$13="ICAO (3000ft)",'Aircraft Calc'!E$211,'Aircraft Calc'!I$211)</f>
        <v>4</v>
      </c>
      <c r="J436" s="189">
        <v>1</v>
      </c>
      <c r="K436" s="187">
        <f t="shared" si="109"/>
        <v>289.72800000000001</v>
      </c>
      <c r="L436" s="187">
        <f t="shared" si="110"/>
        <v>3.6037641600000003</v>
      </c>
      <c r="M436" s="187">
        <f t="shared" si="111"/>
        <v>0</v>
      </c>
      <c r="N436" s="187">
        <f t="shared" si="112"/>
        <v>0.41581559999999995</v>
      </c>
      <c r="O436" s="187">
        <f t="shared" si="113"/>
        <v>4.16868060162289E-2</v>
      </c>
      <c r="P436" s="188">
        <f t="shared" si="114"/>
        <v>3.2869293510816269E+17</v>
      </c>
      <c r="Q436" s="187">
        <f t="shared" si="115"/>
        <v>8232</v>
      </c>
      <c r="R436" s="219">
        <f t="shared" si="116"/>
        <v>37.620240000000003</v>
      </c>
      <c r="S436" s="219">
        <f t="shared" si="117"/>
        <v>0</v>
      </c>
      <c r="T436" s="219">
        <f t="shared" si="118"/>
        <v>126.03192</v>
      </c>
      <c r="U436" s="219">
        <f t="shared" si="119"/>
        <v>0.80448555249284537</v>
      </c>
      <c r="V436" s="188">
        <f t="shared" si="120"/>
        <v>2.0255998959538848E+16</v>
      </c>
      <c r="W436" s="323">
        <v>1.32</v>
      </c>
      <c r="X436" s="323">
        <v>1.0780000000000001</v>
      </c>
      <c r="Y436" s="323">
        <v>0.38329999999999997</v>
      </c>
      <c r="Z436" s="323">
        <v>0.13719999999999999</v>
      </c>
      <c r="AA436" s="323">
        <v>17.54</v>
      </c>
      <c r="AB436" s="323">
        <v>13.540000000000001</v>
      </c>
      <c r="AC436" s="323">
        <v>7.66</v>
      </c>
      <c r="AD436" s="323">
        <v>4.57</v>
      </c>
      <c r="AE436" s="323">
        <v>0</v>
      </c>
      <c r="AF436" s="323">
        <v>0</v>
      </c>
      <c r="AG436" s="323">
        <v>0</v>
      </c>
      <c r="AH436" s="323">
        <v>0</v>
      </c>
      <c r="AI436" s="323">
        <v>0.42</v>
      </c>
      <c r="AJ436" s="323">
        <v>0.47000000000000003</v>
      </c>
      <c r="AK436" s="323">
        <v>3.54</v>
      </c>
      <c r="AL436" s="323">
        <v>15.31</v>
      </c>
      <c r="AM436" s="323">
        <v>0.1171244393843983</v>
      </c>
      <c r="AN436" s="323">
        <v>0.12292895951814148</v>
      </c>
      <c r="AO436" s="323">
        <v>3.822120394343418E-2</v>
      </c>
      <c r="AP436" s="323">
        <v>4.8766622022940409E-2</v>
      </c>
      <c r="AQ436" s="323">
        <v>0.16608443938439832</v>
      </c>
      <c r="AR436" s="323">
        <v>0.17188895951814148</v>
      </c>
      <c r="AS436" s="323">
        <v>8.7181203943434177E-2</v>
      </c>
      <c r="AT436" s="323">
        <v>9.7726622022940413E-2</v>
      </c>
      <c r="AU436" s="190">
        <v>738725632599562.38</v>
      </c>
      <c r="AV436" s="190">
        <v>775335821133002.75</v>
      </c>
      <c r="AW436" s="190">
        <v>1928545960875959.3</v>
      </c>
      <c r="AX436" s="190">
        <v>2460641273024641.5</v>
      </c>
      <c r="AY436" s="203">
        <v>4.5999999999999996</v>
      </c>
      <c r="AZ436" s="239">
        <v>92.74</v>
      </c>
      <c r="BA436" s="203">
        <v>1999</v>
      </c>
      <c r="BB436" s="204">
        <v>39296</v>
      </c>
      <c r="BC436" s="203" t="s">
        <v>3124</v>
      </c>
    </row>
    <row r="437" spans="1:55" x14ac:dyDescent="0.2">
      <c r="A437" s="184" t="s">
        <v>1850</v>
      </c>
      <c r="B437" s="184" t="s">
        <v>1849</v>
      </c>
      <c r="C437" s="184" t="s">
        <v>723</v>
      </c>
      <c r="D437" s="185" t="s">
        <v>1043</v>
      </c>
      <c r="E437" s="184" t="s">
        <v>1837</v>
      </c>
      <c r="F437" s="184" t="s">
        <v>1837</v>
      </c>
      <c r="G437" s="186">
        <f>IF(ALECA_Input!$F$13="ICAO (3000ft)",'Aircraft Calc'!C$211,'Aircraft Calc'!G$211)</f>
        <v>0.7</v>
      </c>
      <c r="H437" s="186">
        <f>IF(ALECA_Input!$F$13="ICAO (3000ft)",'Aircraft Calc'!D$211,'Aircraft Calc'!H$211)</f>
        <v>2.2000000000000002</v>
      </c>
      <c r="I437" s="186">
        <f>IF(ALECA_Input!$F$13="ICAO (3000ft)",'Aircraft Calc'!E$211,'Aircraft Calc'!I$211)</f>
        <v>4</v>
      </c>
      <c r="J437" s="189">
        <v>1</v>
      </c>
      <c r="K437" s="187">
        <f t="shared" si="109"/>
        <v>278.904</v>
      </c>
      <c r="L437" s="187">
        <f t="shared" si="110"/>
        <v>3.3503343599999997</v>
      </c>
      <c r="M437" s="187">
        <f t="shared" si="111"/>
        <v>0</v>
      </c>
      <c r="N437" s="187">
        <f t="shared" si="112"/>
        <v>0.42038987999999999</v>
      </c>
      <c r="O437" s="187">
        <f t="shared" si="113"/>
        <v>3.4364367634666569E-2</v>
      </c>
      <c r="P437" s="188">
        <f t="shared" si="114"/>
        <v>2.4019609409868413E+17</v>
      </c>
      <c r="Q437" s="187">
        <f t="shared" si="115"/>
        <v>8220</v>
      </c>
      <c r="R437" s="219">
        <f t="shared" si="116"/>
        <v>33.291000000000004</v>
      </c>
      <c r="S437" s="219">
        <f t="shared" si="117"/>
        <v>0</v>
      </c>
      <c r="T437" s="219">
        <f t="shared" si="118"/>
        <v>147.0558</v>
      </c>
      <c r="U437" s="219">
        <f t="shared" si="119"/>
        <v>0.47701731541171272</v>
      </c>
      <c r="V437" s="188">
        <f t="shared" si="120"/>
        <v>3762418915644140</v>
      </c>
      <c r="W437" s="323">
        <v>1.282</v>
      </c>
      <c r="X437" s="323">
        <v>1.0449999999999999</v>
      </c>
      <c r="Y437" s="323">
        <v>0.36299999999999999</v>
      </c>
      <c r="Z437" s="323">
        <v>0.13700000000000001</v>
      </c>
      <c r="AA437" s="323">
        <v>16.490000000000002</v>
      </c>
      <c r="AB437" s="323">
        <v>13.02</v>
      </c>
      <c r="AC437" s="323">
        <v>7.65</v>
      </c>
      <c r="AD437" s="323">
        <v>4.05</v>
      </c>
      <c r="AE437" s="323">
        <v>0</v>
      </c>
      <c r="AF437" s="323">
        <v>0</v>
      </c>
      <c r="AG437" s="323">
        <v>0</v>
      </c>
      <c r="AH437" s="323">
        <v>0</v>
      </c>
      <c r="AI437" s="323">
        <v>0.42</v>
      </c>
      <c r="AJ437" s="323">
        <v>0.49</v>
      </c>
      <c r="AK437" s="323">
        <v>3.79</v>
      </c>
      <c r="AL437" s="323">
        <v>17.89</v>
      </c>
      <c r="AM437" s="323">
        <v>0.1158476303289168</v>
      </c>
      <c r="AN437" s="323">
        <v>8.6918741795535756E-2</v>
      </c>
      <c r="AO437" s="323">
        <v>2.8488943342058825E-2</v>
      </c>
      <c r="AP437" s="323">
        <v>9.0713035780672392E-3</v>
      </c>
      <c r="AQ437" s="323">
        <v>0.16480763032891682</v>
      </c>
      <c r="AR437" s="323">
        <v>0.13587874179553577</v>
      </c>
      <c r="AS437" s="323">
        <v>7.7448943342058832E-2</v>
      </c>
      <c r="AT437" s="323">
        <v>5.8031303578067239E-2</v>
      </c>
      <c r="AU437" s="190">
        <v>730672560310150.38</v>
      </c>
      <c r="AV437" s="190">
        <v>548212677517568.81</v>
      </c>
      <c r="AW437" s="190">
        <v>1437480532880750</v>
      </c>
      <c r="AX437" s="190">
        <v>457715196550381.94</v>
      </c>
      <c r="AY437" s="203">
        <v>4.2</v>
      </c>
      <c r="AZ437" s="239">
        <v>92.74</v>
      </c>
      <c r="BA437" s="203">
        <v>1999</v>
      </c>
      <c r="BB437" s="204">
        <v>39296</v>
      </c>
      <c r="BC437" s="203" t="s">
        <v>3125</v>
      </c>
    </row>
    <row r="438" spans="1:55" x14ac:dyDescent="0.2">
      <c r="A438" s="184" t="s">
        <v>689</v>
      </c>
      <c r="B438" s="184" t="s">
        <v>1851</v>
      </c>
      <c r="C438" s="184" t="s">
        <v>723</v>
      </c>
      <c r="D438" s="185" t="s">
        <v>1043</v>
      </c>
      <c r="E438" s="184" t="s">
        <v>325</v>
      </c>
      <c r="F438" s="184" t="s">
        <v>325</v>
      </c>
      <c r="G438" s="186">
        <f>IF(ALECA_Input!$F$13="ICAO (3000ft)",'Aircraft Calc'!C$211,'Aircraft Calc'!G$211)</f>
        <v>0.7</v>
      </c>
      <c r="H438" s="186">
        <f>IF(ALECA_Input!$F$13="ICAO (3000ft)",'Aircraft Calc'!D$211,'Aircraft Calc'!H$211)</f>
        <v>2.2000000000000002</v>
      </c>
      <c r="I438" s="186">
        <f>IF(ALECA_Input!$F$13="ICAO (3000ft)",'Aircraft Calc'!E$211,'Aircraft Calc'!I$211)</f>
        <v>4</v>
      </c>
      <c r="J438" s="189">
        <v>1</v>
      </c>
      <c r="K438" s="187">
        <f t="shared" si="109"/>
        <v>291.69599999999997</v>
      </c>
      <c r="L438" s="187">
        <f t="shared" si="110"/>
        <v>3.7317807599999995</v>
      </c>
      <c r="M438" s="187">
        <f t="shared" si="111"/>
        <v>0</v>
      </c>
      <c r="N438" s="187">
        <f t="shared" si="112"/>
        <v>0.41680631999999995</v>
      </c>
      <c r="O438" s="187">
        <f t="shared" si="113"/>
        <v>3.8084450961870742E-2</v>
      </c>
      <c r="P438" s="188">
        <f t="shared" si="114"/>
        <v>2.6535417046821677E+17</v>
      </c>
      <c r="Q438" s="187">
        <f t="shared" si="115"/>
        <v>8064</v>
      </c>
      <c r="R438" s="219">
        <f t="shared" si="116"/>
        <v>33.546240000000004</v>
      </c>
      <c r="S438" s="219">
        <f t="shared" si="117"/>
        <v>0</v>
      </c>
      <c r="T438" s="219">
        <f t="shared" si="118"/>
        <v>138.62016</v>
      </c>
      <c r="U438" s="219">
        <f t="shared" si="119"/>
        <v>0.46796443205353422</v>
      </c>
      <c r="V438" s="188">
        <f t="shared" si="120"/>
        <v>3691015344982280</v>
      </c>
      <c r="W438" s="323">
        <v>1.3540000000000001</v>
      </c>
      <c r="X438" s="323">
        <v>1.085</v>
      </c>
      <c r="Y438" s="323">
        <v>0.38169999999999998</v>
      </c>
      <c r="Z438" s="323">
        <v>0.13439999999999999</v>
      </c>
      <c r="AA438" s="323">
        <v>18.72</v>
      </c>
      <c r="AB438" s="323">
        <v>13.73</v>
      </c>
      <c r="AC438" s="323">
        <v>7.65</v>
      </c>
      <c r="AD438" s="323">
        <v>4.16</v>
      </c>
      <c r="AE438" s="323">
        <v>0</v>
      </c>
      <c r="AF438" s="323">
        <v>0</v>
      </c>
      <c r="AG438" s="323">
        <v>0</v>
      </c>
      <c r="AH438" s="323">
        <v>0</v>
      </c>
      <c r="AI438" s="323">
        <v>0.42</v>
      </c>
      <c r="AJ438" s="323">
        <v>0.46</v>
      </c>
      <c r="AK438" s="323">
        <v>3.5700000000000003</v>
      </c>
      <c r="AL438" s="323">
        <v>17.190000000000001</v>
      </c>
      <c r="AM438" s="323">
        <v>0.12531237709788409</v>
      </c>
      <c r="AN438" s="323">
        <v>9.8219071494127536E-2</v>
      </c>
      <c r="AO438" s="323">
        <v>2.8488943342058825E-2</v>
      </c>
      <c r="AP438" s="323">
        <v>9.0713035780672392E-3</v>
      </c>
      <c r="AQ438" s="323">
        <v>0.1742723770978841</v>
      </c>
      <c r="AR438" s="323">
        <v>0.14717907149412757</v>
      </c>
      <c r="AS438" s="323">
        <v>7.7448943342058832E-2</v>
      </c>
      <c r="AT438" s="323">
        <v>5.8031303578067239E-2</v>
      </c>
      <c r="AU438" s="190">
        <v>790368479292123.13</v>
      </c>
      <c r="AV438" s="190">
        <v>619485959584503.63</v>
      </c>
      <c r="AW438" s="190">
        <v>1437480532880750</v>
      </c>
      <c r="AX438" s="190">
        <v>457715196550381.94</v>
      </c>
      <c r="AY438" s="203">
        <v>4.5999999999999996</v>
      </c>
      <c r="AZ438" s="239">
        <v>96.52</v>
      </c>
      <c r="BA438" s="203">
        <v>1999</v>
      </c>
      <c r="BB438" s="204">
        <v>39296</v>
      </c>
      <c r="BC438" s="203" t="s">
        <v>3126</v>
      </c>
    </row>
    <row r="439" spans="1:55" x14ac:dyDescent="0.2">
      <c r="A439" s="184" t="s">
        <v>1853</v>
      </c>
      <c r="B439" s="184" t="s">
        <v>1852</v>
      </c>
      <c r="C439" s="184" t="s">
        <v>723</v>
      </c>
      <c r="D439" s="185" t="s">
        <v>1043</v>
      </c>
      <c r="E439" s="184" t="s">
        <v>1854</v>
      </c>
      <c r="F439" s="184" t="s">
        <v>1854</v>
      </c>
      <c r="G439" s="186">
        <f>IF(ALECA_Input!$F$13="ICAO (3000ft)",'Aircraft Calc'!C$211,'Aircraft Calc'!G$211)</f>
        <v>0.7</v>
      </c>
      <c r="H439" s="186">
        <f>IF(ALECA_Input!$F$13="ICAO (3000ft)",'Aircraft Calc'!D$211,'Aircraft Calc'!H$211)</f>
        <v>2.2000000000000002</v>
      </c>
      <c r="I439" s="186">
        <f>IF(ALECA_Input!$F$13="ICAO (3000ft)",'Aircraft Calc'!E$211,'Aircraft Calc'!I$211)</f>
        <v>4</v>
      </c>
      <c r="J439" s="189">
        <v>1</v>
      </c>
      <c r="K439" s="187">
        <f t="shared" si="109"/>
        <v>217.30200000000002</v>
      </c>
      <c r="L439" s="187">
        <f t="shared" si="110"/>
        <v>2.6464636799999997</v>
      </c>
      <c r="M439" s="187">
        <f t="shared" si="111"/>
        <v>6.4625100000000005E-2</v>
      </c>
      <c r="N439" s="187">
        <f t="shared" si="112"/>
        <v>0.30625332000000005</v>
      </c>
      <c r="O439" s="187">
        <f t="shared" si="113"/>
        <v>3.77144923358382E-2</v>
      </c>
      <c r="P439" s="188">
        <f t="shared" si="114"/>
        <v>3.2663935050477274E+17</v>
      </c>
      <c r="Q439" s="187">
        <f t="shared" si="115"/>
        <v>7746</v>
      </c>
      <c r="R439" s="219">
        <f t="shared" si="116"/>
        <v>24.399899999999999</v>
      </c>
      <c r="S439" s="219">
        <f t="shared" si="117"/>
        <v>29.434799999999999</v>
      </c>
      <c r="T439" s="219">
        <f t="shared" si="118"/>
        <v>110.76779999999999</v>
      </c>
      <c r="U439" s="219">
        <f t="shared" si="119"/>
        <v>1.1669886187225229</v>
      </c>
      <c r="V439" s="188">
        <f t="shared" si="120"/>
        <v>3.0583885476664472E+16</v>
      </c>
      <c r="W439" s="323">
        <v>0.98919999999999997</v>
      </c>
      <c r="X439" s="323">
        <v>0.81130000000000002</v>
      </c>
      <c r="Y439" s="323">
        <v>0.28610000000000002</v>
      </c>
      <c r="Z439" s="323">
        <v>0.12909999999999999</v>
      </c>
      <c r="AA439" s="323">
        <v>17.2</v>
      </c>
      <c r="AB439" s="323">
        <v>14</v>
      </c>
      <c r="AC439" s="323">
        <v>6.3</v>
      </c>
      <c r="AD439" s="323">
        <v>3.15</v>
      </c>
      <c r="AE439" s="323">
        <v>0.25</v>
      </c>
      <c r="AF439" s="323">
        <v>0.25</v>
      </c>
      <c r="AG439" s="323">
        <v>0.4</v>
      </c>
      <c r="AH439" s="323">
        <v>3.8000000000000003</v>
      </c>
      <c r="AI439" s="323">
        <v>0.9</v>
      </c>
      <c r="AJ439" s="323">
        <v>1.1000000000000001</v>
      </c>
      <c r="AK439" s="323">
        <v>2.2000000000000002</v>
      </c>
      <c r="AL439" s="323">
        <v>14.3</v>
      </c>
      <c r="AM439" s="323">
        <v>0.11719757917822707</v>
      </c>
      <c r="AN439" s="323">
        <v>0.1234424814636453</v>
      </c>
      <c r="AO439" s="323">
        <v>6.1348838756201049E-2</v>
      </c>
      <c r="AP439" s="323">
        <v>7.8250935027436477E-2</v>
      </c>
      <c r="AQ439" s="323">
        <v>0.19490757917822707</v>
      </c>
      <c r="AR439" s="323">
        <v>0.1914024814636453</v>
      </c>
      <c r="AS439" s="323">
        <v>0.13280883875620103</v>
      </c>
      <c r="AT439" s="323">
        <v>0.15065693502743649</v>
      </c>
      <c r="AU439" s="190">
        <v>739186938888398</v>
      </c>
      <c r="AV439" s="190">
        <v>778574699594576.88</v>
      </c>
      <c r="AW439" s="190">
        <v>3095508329952190.5</v>
      </c>
      <c r="AX439" s="190">
        <v>3948345659264714</v>
      </c>
      <c r="AY439" s="203">
        <v>3.3</v>
      </c>
      <c r="AZ439" s="239">
        <v>62.27</v>
      </c>
      <c r="BA439" s="203">
        <v>1980</v>
      </c>
      <c r="BB439" s="204">
        <v>39296</v>
      </c>
      <c r="BC439" s="203" t="s">
        <v>3127</v>
      </c>
    </row>
    <row r="440" spans="1:55" x14ac:dyDescent="0.2">
      <c r="A440" s="184" t="s">
        <v>1856</v>
      </c>
      <c r="B440" s="184" t="s">
        <v>1855</v>
      </c>
      <c r="C440" s="184" t="s">
        <v>723</v>
      </c>
      <c r="D440" s="185" t="s">
        <v>1043</v>
      </c>
      <c r="E440" s="184" t="s">
        <v>1857</v>
      </c>
      <c r="F440" s="184" t="s">
        <v>1857</v>
      </c>
      <c r="G440" s="186">
        <f>IF(ALECA_Input!$F$13="ICAO (3000ft)",'Aircraft Calc'!C$211,'Aircraft Calc'!G$211)</f>
        <v>0.7</v>
      </c>
      <c r="H440" s="186">
        <f>IF(ALECA_Input!$F$13="ICAO (3000ft)",'Aircraft Calc'!D$211,'Aircraft Calc'!H$211)</f>
        <v>2.2000000000000002</v>
      </c>
      <c r="I440" s="186">
        <f>IF(ALECA_Input!$F$13="ICAO (3000ft)",'Aircraft Calc'!E$211,'Aircraft Calc'!I$211)</f>
        <v>4</v>
      </c>
      <c r="J440" s="189">
        <v>1</v>
      </c>
      <c r="K440" s="187">
        <f t="shared" si="109"/>
        <v>226.87200000000001</v>
      </c>
      <c r="L440" s="187">
        <f t="shared" si="110"/>
        <v>2.7729775200000004</v>
      </c>
      <c r="M440" s="187">
        <f t="shared" si="111"/>
        <v>0.19674504000000001</v>
      </c>
      <c r="N440" s="187">
        <f t="shared" si="112"/>
        <v>0.91397231999999995</v>
      </c>
      <c r="O440" s="187">
        <f t="shared" si="113"/>
        <v>8.509817327642373E-2</v>
      </c>
      <c r="P440" s="188">
        <f t="shared" si="114"/>
        <v>9.328949279060905E+17</v>
      </c>
      <c r="Q440" s="187">
        <f t="shared" si="115"/>
        <v>7920</v>
      </c>
      <c r="R440" s="219">
        <f t="shared" si="116"/>
        <v>22.968</v>
      </c>
      <c r="S440" s="219">
        <f t="shared" si="117"/>
        <v>79.2</v>
      </c>
      <c r="T440" s="219">
        <f t="shared" si="118"/>
        <v>273.24</v>
      </c>
      <c r="U440" s="219">
        <f t="shared" si="119"/>
        <v>2.6365411639380034</v>
      </c>
      <c r="V440" s="188">
        <f t="shared" si="120"/>
        <v>8.8810930206637984E+16</v>
      </c>
      <c r="W440" s="323">
        <v>1.04</v>
      </c>
      <c r="X440" s="323">
        <v>0.84599999999999997</v>
      </c>
      <c r="Y440" s="323">
        <v>0.29799999999999999</v>
      </c>
      <c r="Z440" s="323">
        <v>0.13200000000000001</v>
      </c>
      <c r="AA440" s="323">
        <v>17.920000000000002</v>
      </c>
      <c r="AB440" s="323">
        <v>14.21</v>
      </c>
      <c r="AC440" s="323">
        <v>5.64</v>
      </c>
      <c r="AD440" s="323">
        <v>2.9</v>
      </c>
      <c r="AE440" s="323">
        <v>0.47000000000000003</v>
      </c>
      <c r="AF440" s="323">
        <v>0.47000000000000003</v>
      </c>
      <c r="AG440" s="323">
        <v>1.73</v>
      </c>
      <c r="AH440" s="323">
        <v>10</v>
      </c>
      <c r="AI440" s="323">
        <v>1.24</v>
      </c>
      <c r="AJ440" s="323">
        <v>1.6600000000000001</v>
      </c>
      <c r="AK440" s="323">
        <v>9.43</v>
      </c>
      <c r="AL440" s="323">
        <v>34.5</v>
      </c>
      <c r="AM440" s="323">
        <v>0.32167012141702195</v>
      </c>
      <c r="AN440" s="323">
        <v>0.3059770898110486</v>
      </c>
      <c r="AO440" s="323">
        <v>0.17423486912120797</v>
      </c>
      <c r="AP440" s="323">
        <v>0.22223661160833375</v>
      </c>
      <c r="AQ440" s="323">
        <v>0.42468012141702194</v>
      </c>
      <c r="AR440" s="323">
        <v>0.39065708981104863</v>
      </c>
      <c r="AS440" s="323">
        <v>0.32050736912120792</v>
      </c>
      <c r="AT440" s="323">
        <v>0.33289661160833378</v>
      </c>
      <c r="AU440" s="190">
        <v>2028833309095188.5</v>
      </c>
      <c r="AV440" s="190">
        <v>1929854438746189.3</v>
      </c>
      <c r="AW440" s="190">
        <v>8791453916123437</v>
      </c>
      <c r="AX440" s="190">
        <v>1.1213501288716918E+16</v>
      </c>
      <c r="AY440" s="203">
        <v>6.5</v>
      </c>
      <c r="AZ440" s="239">
        <v>64.5</v>
      </c>
      <c r="BA440" s="203">
        <v>1976</v>
      </c>
      <c r="BB440" s="204">
        <v>37448</v>
      </c>
      <c r="BC440" s="203" t="s">
        <v>3128</v>
      </c>
    </row>
    <row r="441" spans="1:55" x14ac:dyDescent="0.2">
      <c r="A441" s="184" t="s">
        <v>1859</v>
      </c>
      <c r="B441" s="184" t="s">
        <v>1858</v>
      </c>
      <c r="C441" s="184" t="s">
        <v>723</v>
      </c>
      <c r="D441" s="185" t="s">
        <v>1043</v>
      </c>
      <c r="E441" s="184" t="s">
        <v>1860</v>
      </c>
      <c r="F441" s="184" t="s">
        <v>1860</v>
      </c>
      <c r="G441" s="186">
        <f>IF(ALECA_Input!$F$13="ICAO (3000ft)",'Aircraft Calc'!C$211,'Aircraft Calc'!G$211)</f>
        <v>0.7</v>
      </c>
      <c r="H441" s="186">
        <f>IF(ALECA_Input!$F$13="ICAO (3000ft)",'Aircraft Calc'!D$211,'Aircraft Calc'!H$211)</f>
        <v>2.2000000000000002</v>
      </c>
      <c r="I441" s="186">
        <f>IF(ALECA_Input!$F$13="ICAO (3000ft)",'Aircraft Calc'!E$211,'Aircraft Calc'!I$211)</f>
        <v>4</v>
      </c>
      <c r="J441" s="189">
        <v>1</v>
      </c>
      <c r="K441" s="187">
        <f t="shared" si="109"/>
        <v>466.49400000000003</v>
      </c>
      <c r="L441" s="187">
        <f t="shared" si="110"/>
        <v>10.876425000000001</v>
      </c>
      <c r="M441" s="187">
        <f t="shared" si="111"/>
        <v>0.2220414</v>
      </c>
      <c r="N441" s="187">
        <f t="shared" si="112"/>
        <v>1.140048</v>
      </c>
      <c r="O441" s="187">
        <f t="shared" si="113"/>
        <v>6.0482265428079558E-2</v>
      </c>
      <c r="P441" s="188">
        <f t="shared" si="114"/>
        <v>3.0592236736654688E+17</v>
      </c>
      <c r="Q441" s="187">
        <f t="shared" si="115"/>
        <v>12600</v>
      </c>
      <c r="R441" s="219">
        <f t="shared" si="116"/>
        <v>39.06</v>
      </c>
      <c r="S441" s="219">
        <f t="shared" si="117"/>
        <v>459.9</v>
      </c>
      <c r="T441" s="219">
        <f t="shared" si="118"/>
        <v>1059.6600000000001</v>
      </c>
      <c r="U441" s="219">
        <f t="shared" si="119"/>
        <v>3.5360522371191618</v>
      </c>
      <c r="V441" s="188">
        <f t="shared" si="120"/>
        <v>4115980679063882.5</v>
      </c>
      <c r="W441" s="323">
        <v>2.0830000000000002</v>
      </c>
      <c r="X441" s="323">
        <v>1.764</v>
      </c>
      <c r="Y441" s="323">
        <v>0.60899999999999999</v>
      </c>
      <c r="Z441" s="323">
        <v>0.21</v>
      </c>
      <c r="AA441" s="323">
        <v>37.9</v>
      </c>
      <c r="AB441" s="323">
        <v>27.7</v>
      </c>
      <c r="AC441" s="323">
        <v>7.6000000000000005</v>
      </c>
      <c r="AD441" s="323">
        <v>3.1</v>
      </c>
      <c r="AE441" s="323">
        <v>0.1</v>
      </c>
      <c r="AF441" s="323">
        <v>0.1</v>
      </c>
      <c r="AG441" s="323">
        <v>1.3</v>
      </c>
      <c r="AH441" s="323">
        <v>36.5</v>
      </c>
      <c r="AI441" s="323">
        <v>0</v>
      </c>
      <c r="AJ441" s="323">
        <v>0</v>
      </c>
      <c r="AK441" s="323">
        <v>7.8</v>
      </c>
      <c r="AL441" s="323">
        <v>84.100000000000009</v>
      </c>
      <c r="AM441" s="323">
        <v>6.9168202869583056E-2</v>
      </c>
      <c r="AN441" s="323">
        <v>6.2928702137997478E-2</v>
      </c>
      <c r="AO441" s="323">
        <v>2.3775065383160768E-2</v>
      </c>
      <c r="AP441" s="323">
        <v>6.4740664380286746E-3</v>
      </c>
      <c r="AQ441" s="323">
        <v>0.12962820286958304</v>
      </c>
      <c r="AR441" s="323">
        <v>0.11948870213799748</v>
      </c>
      <c r="AS441" s="323">
        <v>0.14586006538316076</v>
      </c>
      <c r="AT441" s="323">
        <v>0.28063906643802872</v>
      </c>
      <c r="AU441" s="190">
        <v>436256725660058.63</v>
      </c>
      <c r="AV441" s="190">
        <v>396903033558972</v>
      </c>
      <c r="AW441" s="190">
        <v>1199630089677829</v>
      </c>
      <c r="AX441" s="190">
        <v>326665133259038.31</v>
      </c>
      <c r="AY441" s="203">
        <v>39.6</v>
      </c>
      <c r="AZ441" s="239">
        <v>202.4</v>
      </c>
      <c r="BA441" s="203">
        <v>1977</v>
      </c>
      <c r="BB441" s="204">
        <v>35684</v>
      </c>
      <c r="BC441" s="203" t="s">
        <v>741</v>
      </c>
    </row>
    <row r="442" spans="1:55" x14ac:dyDescent="0.2">
      <c r="A442" s="184" t="s">
        <v>1862</v>
      </c>
      <c r="B442" s="184" t="s">
        <v>1861</v>
      </c>
      <c r="C442" s="184" t="s">
        <v>723</v>
      </c>
      <c r="D442" s="185" t="s">
        <v>1043</v>
      </c>
      <c r="E442" s="184" t="s">
        <v>1863</v>
      </c>
      <c r="F442" s="184" t="s">
        <v>1863</v>
      </c>
      <c r="G442" s="186">
        <f>IF(ALECA_Input!$F$13="ICAO (3000ft)",'Aircraft Calc'!C$211,'Aircraft Calc'!G$211)</f>
        <v>0.7</v>
      </c>
      <c r="H442" s="186">
        <f>IF(ALECA_Input!$F$13="ICAO (3000ft)",'Aircraft Calc'!D$211,'Aircraft Calc'!H$211)</f>
        <v>2.2000000000000002</v>
      </c>
      <c r="I442" s="186">
        <f>IF(ALECA_Input!$F$13="ICAO (3000ft)",'Aircraft Calc'!E$211,'Aircraft Calc'!I$211)</f>
        <v>4</v>
      </c>
      <c r="J442" s="189">
        <v>1</v>
      </c>
      <c r="K442" s="187">
        <f t="shared" si="109"/>
        <v>472.86599999999999</v>
      </c>
      <c r="L442" s="187">
        <f t="shared" si="110"/>
        <v>11.270988600000001</v>
      </c>
      <c r="M442" s="187">
        <f t="shared" si="111"/>
        <v>0.22555860000000003</v>
      </c>
      <c r="N442" s="187">
        <f t="shared" si="112"/>
        <v>1.1290560000000001</v>
      </c>
      <c r="O442" s="187">
        <f t="shared" si="113"/>
        <v>6.2069945754636209E-2</v>
      </c>
      <c r="P442" s="188">
        <f t="shared" si="114"/>
        <v>3.1517387596211955E+17</v>
      </c>
      <c r="Q442" s="187">
        <f t="shared" si="115"/>
        <v>12660</v>
      </c>
      <c r="R442" s="219">
        <f t="shared" si="116"/>
        <v>39.246000000000002</v>
      </c>
      <c r="S442" s="219">
        <f t="shared" si="117"/>
        <v>457.02600000000001</v>
      </c>
      <c r="T442" s="219">
        <f t="shared" si="118"/>
        <v>1058.3760000000002</v>
      </c>
      <c r="U442" s="219">
        <f t="shared" si="119"/>
        <v>3.5216457011054434</v>
      </c>
      <c r="V442" s="188">
        <f t="shared" si="120"/>
        <v>4135580587059425</v>
      </c>
      <c r="W442" s="323">
        <v>2.0990000000000002</v>
      </c>
      <c r="X442" s="323">
        <v>1.7889999999999999</v>
      </c>
      <c r="Y442" s="323">
        <v>0.61899999999999999</v>
      </c>
      <c r="Z442" s="323">
        <v>0.21099999999999999</v>
      </c>
      <c r="AA442" s="323">
        <v>38.700000000000003</v>
      </c>
      <c r="AB442" s="323">
        <v>28.5</v>
      </c>
      <c r="AC442" s="323">
        <v>7.6000000000000005</v>
      </c>
      <c r="AD442" s="323">
        <v>3.1</v>
      </c>
      <c r="AE442" s="323">
        <v>0.1</v>
      </c>
      <c r="AF442" s="323">
        <v>0.1</v>
      </c>
      <c r="AG442" s="323">
        <v>1.3</v>
      </c>
      <c r="AH442" s="323">
        <v>36.1</v>
      </c>
      <c r="AI442" s="323">
        <v>0</v>
      </c>
      <c r="AJ442" s="323">
        <v>0</v>
      </c>
      <c r="AK442" s="323">
        <v>7.6000000000000005</v>
      </c>
      <c r="AL442" s="323">
        <v>83.600000000000009</v>
      </c>
      <c r="AM442" s="323">
        <v>7.126616845623604E-2</v>
      </c>
      <c r="AN442" s="323">
        <v>6.5347697217630438E-2</v>
      </c>
      <c r="AO442" s="323">
        <v>2.3775065383160768E-2</v>
      </c>
      <c r="AP442" s="323">
        <v>6.4740664380286746E-3</v>
      </c>
      <c r="AQ442" s="323">
        <v>0.13172616845623603</v>
      </c>
      <c r="AR442" s="323">
        <v>0.12190769721763042</v>
      </c>
      <c r="AS442" s="323">
        <v>0.14586006538316076</v>
      </c>
      <c r="AT442" s="323">
        <v>0.27817106643802869</v>
      </c>
      <c r="AU442" s="190">
        <v>449488984984569.69</v>
      </c>
      <c r="AV442" s="190">
        <v>412160085629823.75</v>
      </c>
      <c r="AW442" s="190">
        <v>1199630089677829</v>
      </c>
      <c r="AX442" s="190">
        <v>326665133259038.31</v>
      </c>
      <c r="AY442" s="203">
        <v>40.1</v>
      </c>
      <c r="AZ442" s="239">
        <v>205.3</v>
      </c>
      <c r="BA442" s="203">
        <v>1975</v>
      </c>
      <c r="BB442" s="204">
        <v>39296</v>
      </c>
      <c r="BC442" s="203" t="s">
        <v>741</v>
      </c>
    </row>
    <row r="443" spans="1:55" x14ac:dyDescent="0.2">
      <c r="A443" s="184" t="s">
        <v>1865</v>
      </c>
      <c r="B443" s="184" t="s">
        <v>1864</v>
      </c>
      <c r="C443" s="184" t="s">
        <v>723</v>
      </c>
      <c r="D443" s="185" t="s">
        <v>1043</v>
      </c>
      <c r="E443" s="184" t="s">
        <v>1866</v>
      </c>
      <c r="F443" s="184" t="s">
        <v>1866</v>
      </c>
      <c r="G443" s="186">
        <f>IF(ALECA_Input!$F$13="ICAO (3000ft)",'Aircraft Calc'!C$211,'Aircraft Calc'!G$211)</f>
        <v>0.7</v>
      </c>
      <c r="H443" s="186">
        <f>IF(ALECA_Input!$F$13="ICAO (3000ft)",'Aircraft Calc'!D$211,'Aircraft Calc'!H$211)</f>
        <v>2.2000000000000002</v>
      </c>
      <c r="I443" s="186">
        <f>IF(ALECA_Input!$F$13="ICAO (3000ft)",'Aircraft Calc'!E$211,'Aircraft Calc'!I$211)</f>
        <v>4</v>
      </c>
      <c r="J443" s="189">
        <v>1</v>
      </c>
      <c r="K443" s="187">
        <f t="shared" si="109"/>
        <v>473.55840000000001</v>
      </c>
      <c r="L443" s="187">
        <f t="shared" si="110"/>
        <v>13.364567999999998</v>
      </c>
      <c r="M443" s="187">
        <f t="shared" si="111"/>
        <v>0.17200511999999998</v>
      </c>
      <c r="N443" s="187">
        <f t="shared" si="112"/>
        <v>0.56364336000000004</v>
      </c>
      <c r="O443" s="187">
        <f t="shared" si="113"/>
        <v>4.6171571788186171E-2</v>
      </c>
      <c r="P443" s="188">
        <f t="shared" si="114"/>
        <v>1.1884090224976915E+17</v>
      </c>
      <c r="Q443" s="187">
        <f t="shared" si="115"/>
        <v>13140</v>
      </c>
      <c r="R443" s="219">
        <f t="shared" si="116"/>
        <v>40.734000000000002</v>
      </c>
      <c r="S443" s="219">
        <f t="shared" si="117"/>
        <v>341.64</v>
      </c>
      <c r="T443" s="219">
        <f t="shared" si="118"/>
        <v>709.56000000000006</v>
      </c>
      <c r="U443" s="219">
        <f t="shared" si="119"/>
        <v>2.8872789672890362</v>
      </c>
      <c r="V443" s="188">
        <f t="shared" si="120"/>
        <v>6863518597388096</v>
      </c>
      <c r="W443" s="323">
        <v>2.1671999999999998</v>
      </c>
      <c r="X443" s="323">
        <v>1.764</v>
      </c>
      <c r="Y443" s="323">
        <v>0.62370000000000003</v>
      </c>
      <c r="Z443" s="323">
        <v>0.219</v>
      </c>
      <c r="AA443" s="323">
        <v>46</v>
      </c>
      <c r="AB443" s="323">
        <v>34.4</v>
      </c>
      <c r="AC443" s="323">
        <v>7.8</v>
      </c>
      <c r="AD443" s="323">
        <v>3.1</v>
      </c>
      <c r="AE443" s="323">
        <v>0.3</v>
      </c>
      <c r="AF443" s="323">
        <v>0.3</v>
      </c>
      <c r="AG443" s="323">
        <v>0.5</v>
      </c>
      <c r="AH443" s="323">
        <v>26</v>
      </c>
      <c r="AI443" s="323">
        <v>0.4</v>
      </c>
      <c r="AJ443" s="323">
        <v>0.4</v>
      </c>
      <c r="AK443" s="323">
        <v>2.9</v>
      </c>
      <c r="AL443" s="323">
        <v>54</v>
      </c>
      <c r="AM443" s="323">
        <v>2.8821833585052945E-2</v>
      </c>
      <c r="AN443" s="323">
        <v>2.7859739447284457E-2</v>
      </c>
      <c r="AO443" s="323">
        <v>8.126591630944072E-3</v>
      </c>
      <c r="AP443" s="323">
        <v>1.0352037084401529E-2</v>
      </c>
      <c r="AQ443" s="323">
        <v>0.11228183358505295</v>
      </c>
      <c r="AR443" s="323">
        <v>9.9619739447284458E-2</v>
      </c>
      <c r="AS443" s="323">
        <v>8.5211591630944078E-2</v>
      </c>
      <c r="AT443" s="323">
        <v>0.21973203708440153</v>
      </c>
      <c r="AU443" s="190">
        <v>181784667313709.25</v>
      </c>
      <c r="AV443" s="190">
        <v>175716560569473.03</v>
      </c>
      <c r="AW443" s="190">
        <v>410047404282194.56</v>
      </c>
      <c r="AX443" s="190">
        <v>522337792799702.88</v>
      </c>
      <c r="AY443" s="203">
        <v>34.4</v>
      </c>
      <c r="AZ443" s="239">
        <v>213.5</v>
      </c>
      <c r="BA443" s="203">
        <v>1975</v>
      </c>
      <c r="BB443" s="204">
        <v>35684</v>
      </c>
      <c r="BC443" s="203" t="s">
        <v>3129</v>
      </c>
    </row>
    <row r="444" spans="1:55" x14ac:dyDescent="0.2">
      <c r="A444" s="184" t="s">
        <v>1868</v>
      </c>
      <c r="B444" s="184" t="s">
        <v>1867</v>
      </c>
      <c r="C444" s="184" t="s">
        <v>723</v>
      </c>
      <c r="D444" s="185" t="s">
        <v>1043</v>
      </c>
      <c r="E444" s="184" t="s">
        <v>1869</v>
      </c>
      <c r="F444" s="184" t="s">
        <v>1870</v>
      </c>
      <c r="G444" s="186">
        <f>IF(ALECA_Input!$F$13="ICAO (3000ft)",'Aircraft Calc'!C$211,'Aircraft Calc'!G$211)</f>
        <v>0.7</v>
      </c>
      <c r="H444" s="186">
        <f>IF(ALECA_Input!$F$13="ICAO (3000ft)",'Aircraft Calc'!D$211,'Aircraft Calc'!H$211)</f>
        <v>2.2000000000000002</v>
      </c>
      <c r="I444" s="186">
        <f>IF(ALECA_Input!$F$13="ICAO (3000ft)",'Aircraft Calc'!E$211,'Aircraft Calc'!I$211)</f>
        <v>4</v>
      </c>
      <c r="J444" s="189">
        <v>1</v>
      </c>
      <c r="K444" s="187">
        <f t="shared" si="109"/>
        <v>529.80300000000011</v>
      </c>
      <c r="L444" s="187">
        <f t="shared" si="110"/>
        <v>11.271646800000003</v>
      </c>
      <c r="M444" s="187">
        <f t="shared" si="111"/>
        <v>0.12229020000000002</v>
      </c>
      <c r="N444" s="187">
        <f t="shared" si="112"/>
        <v>0.35090459999999996</v>
      </c>
      <c r="O444" s="187">
        <f t="shared" si="113"/>
        <v>5.8372477702280989E-2</v>
      </c>
      <c r="P444" s="188">
        <f t="shared" si="114"/>
        <v>3.064125529706615E+17</v>
      </c>
      <c r="Q444" s="187">
        <f t="shared" si="115"/>
        <v>14219.999999999998</v>
      </c>
      <c r="R444" s="219">
        <f t="shared" si="116"/>
        <v>42.66</v>
      </c>
      <c r="S444" s="219">
        <f t="shared" si="117"/>
        <v>170.64</v>
      </c>
      <c r="T444" s="219">
        <f t="shared" si="118"/>
        <v>753.66</v>
      </c>
      <c r="U444" s="219">
        <f t="shared" si="119"/>
        <v>2.1495842972527863</v>
      </c>
      <c r="V444" s="188">
        <f t="shared" si="120"/>
        <v>2.0209450148213752E+16</v>
      </c>
      <c r="W444" s="323">
        <v>2.4419</v>
      </c>
      <c r="X444" s="323">
        <v>1.9996</v>
      </c>
      <c r="Y444" s="323">
        <v>0.6804</v>
      </c>
      <c r="Z444" s="323">
        <v>0.23699999999999999</v>
      </c>
      <c r="AA444" s="323">
        <v>31.6</v>
      </c>
      <c r="AB444" s="323">
        <v>25.6</v>
      </c>
      <c r="AC444" s="323">
        <v>7.8</v>
      </c>
      <c r="AD444" s="323">
        <v>3</v>
      </c>
      <c r="AE444" s="323">
        <v>0.2</v>
      </c>
      <c r="AF444" s="323">
        <v>0.2</v>
      </c>
      <c r="AG444" s="323">
        <v>0.3</v>
      </c>
      <c r="AH444" s="323">
        <v>12</v>
      </c>
      <c r="AI444" s="323">
        <v>0.2</v>
      </c>
      <c r="AJ444" s="323">
        <v>0.2</v>
      </c>
      <c r="AK444" s="323">
        <v>1.7</v>
      </c>
      <c r="AL444" s="323">
        <v>53</v>
      </c>
      <c r="AM444" s="323">
        <v>5.1543045946465728E-2</v>
      </c>
      <c r="AN444" s="323">
        <v>5.459394346422574E-2</v>
      </c>
      <c r="AO444" s="323">
        <v>2.211117837717989E-2</v>
      </c>
      <c r="AP444" s="323">
        <v>2.8166265629591195E-2</v>
      </c>
      <c r="AQ444" s="323">
        <v>0.12350304594646572</v>
      </c>
      <c r="AR444" s="323">
        <v>0.11875394346422574</v>
      </c>
      <c r="AS444" s="323">
        <v>8.7946178377179884E-2</v>
      </c>
      <c r="AT444" s="323">
        <v>0.15116626562959118</v>
      </c>
      <c r="AU444" s="190">
        <v>325091581424322.19</v>
      </c>
      <c r="AV444" s="190">
        <v>344334159750839.38</v>
      </c>
      <c r="AW444" s="190">
        <v>1115674530101855.5</v>
      </c>
      <c r="AX444" s="190">
        <v>1421199025894075.5</v>
      </c>
      <c r="AY444" s="203">
        <v>18.8</v>
      </c>
      <c r="AZ444" s="239">
        <v>235.75</v>
      </c>
      <c r="BA444" s="203">
        <v>1976</v>
      </c>
      <c r="BB444" s="204">
        <v>35684</v>
      </c>
      <c r="BC444" s="203" t="s">
        <v>741</v>
      </c>
    </row>
    <row r="445" spans="1:55" x14ac:dyDescent="0.2">
      <c r="A445" s="184" t="s">
        <v>1872</v>
      </c>
      <c r="B445" s="184" t="s">
        <v>1871</v>
      </c>
      <c r="C445" s="184" t="s">
        <v>723</v>
      </c>
      <c r="D445" s="185" t="s">
        <v>1043</v>
      </c>
      <c r="E445" s="184" t="s">
        <v>1873</v>
      </c>
      <c r="F445" s="184" t="s">
        <v>1874</v>
      </c>
      <c r="G445" s="186">
        <f>IF(ALECA_Input!$F$13="ICAO (3000ft)",'Aircraft Calc'!C$211,'Aircraft Calc'!G$211)</f>
        <v>0.7</v>
      </c>
      <c r="H445" s="186">
        <f>IF(ALECA_Input!$F$13="ICAO (3000ft)",'Aircraft Calc'!D$211,'Aircraft Calc'!H$211)</f>
        <v>2.2000000000000002</v>
      </c>
      <c r="I445" s="186">
        <f>IF(ALECA_Input!$F$13="ICAO (3000ft)",'Aircraft Calc'!E$211,'Aircraft Calc'!I$211)</f>
        <v>4</v>
      </c>
      <c r="J445" s="189">
        <v>1</v>
      </c>
      <c r="K445" s="187">
        <f t="shared" si="109"/>
        <v>529.80300000000011</v>
      </c>
      <c r="L445" s="187">
        <f t="shared" si="110"/>
        <v>11.271646800000003</v>
      </c>
      <c r="M445" s="187">
        <f t="shared" si="111"/>
        <v>0.12229020000000002</v>
      </c>
      <c r="N445" s="187">
        <f t="shared" si="112"/>
        <v>0.35090459999999996</v>
      </c>
      <c r="O445" s="187">
        <f t="shared" si="113"/>
        <v>5.8372477702280989E-2</v>
      </c>
      <c r="P445" s="188">
        <f t="shared" si="114"/>
        <v>3.064125529706615E+17</v>
      </c>
      <c r="Q445" s="187">
        <f t="shared" si="115"/>
        <v>14219.999999999998</v>
      </c>
      <c r="R445" s="219">
        <f t="shared" si="116"/>
        <v>42.66</v>
      </c>
      <c r="S445" s="219">
        <f t="shared" si="117"/>
        <v>170.64</v>
      </c>
      <c r="T445" s="219">
        <f t="shared" si="118"/>
        <v>753.66</v>
      </c>
      <c r="U445" s="219">
        <f t="shared" si="119"/>
        <v>2.1495842972527863</v>
      </c>
      <c r="V445" s="188">
        <f t="shared" si="120"/>
        <v>2.0209450148213752E+16</v>
      </c>
      <c r="W445" s="323">
        <v>2.4419</v>
      </c>
      <c r="X445" s="323">
        <v>1.9996</v>
      </c>
      <c r="Y445" s="323">
        <v>0.6804</v>
      </c>
      <c r="Z445" s="323">
        <v>0.23699999999999999</v>
      </c>
      <c r="AA445" s="323">
        <v>31.6</v>
      </c>
      <c r="AB445" s="323">
        <v>25.6</v>
      </c>
      <c r="AC445" s="323">
        <v>7.8</v>
      </c>
      <c r="AD445" s="323">
        <v>3</v>
      </c>
      <c r="AE445" s="323">
        <v>0.2</v>
      </c>
      <c r="AF445" s="323">
        <v>0.2</v>
      </c>
      <c r="AG445" s="323">
        <v>0.3</v>
      </c>
      <c r="AH445" s="323">
        <v>12</v>
      </c>
      <c r="AI445" s="323">
        <v>0.2</v>
      </c>
      <c r="AJ445" s="323">
        <v>0.2</v>
      </c>
      <c r="AK445" s="323">
        <v>1.7</v>
      </c>
      <c r="AL445" s="323">
        <v>53</v>
      </c>
      <c r="AM445" s="323">
        <v>5.1543045946465728E-2</v>
      </c>
      <c r="AN445" s="323">
        <v>5.459394346422574E-2</v>
      </c>
      <c r="AO445" s="323">
        <v>2.211117837717989E-2</v>
      </c>
      <c r="AP445" s="323">
        <v>2.8166265629591195E-2</v>
      </c>
      <c r="AQ445" s="323">
        <v>0.12350304594646572</v>
      </c>
      <c r="AR445" s="323">
        <v>0.11875394346422574</v>
      </c>
      <c r="AS445" s="323">
        <v>8.7946178377179884E-2</v>
      </c>
      <c r="AT445" s="323">
        <v>0.15116626562959118</v>
      </c>
      <c r="AU445" s="190">
        <v>325091581424322.19</v>
      </c>
      <c r="AV445" s="190">
        <v>344334159750839.38</v>
      </c>
      <c r="AW445" s="190">
        <v>1115674530101855.5</v>
      </c>
      <c r="AX445" s="190">
        <v>1421199025894075.5</v>
      </c>
      <c r="AY445" s="203">
        <v>15.9</v>
      </c>
      <c r="AZ445" s="239">
        <v>235.8</v>
      </c>
      <c r="BA445" s="203">
        <v>1976</v>
      </c>
      <c r="BB445" s="204">
        <v>39105</v>
      </c>
      <c r="BC445" s="203" t="s">
        <v>3130</v>
      </c>
    </row>
    <row r="446" spans="1:55" x14ac:dyDescent="0.2">
      <c r="A446" s="184" t="s">
        <v>1876</v>
      </c>
      <c r="B446" s="184" t="s">
        <v>1875</v>
      </c>
      <c r="C446" s="184" t="s">
        <v>723</v>
      </c>
      <c r="D446" s="185" t="s">
        <v>1043</v>
      </c>
      <c r="E446" s="184" t="s">
        <v>1877</v>
      </c>
      <c r="F446" s="184" t="s">
        <v>1878</v>
      </c>
      <c r="G446" s="186">
        <f>IF(ALECA_Input!$F$13="ICAO (3000ft)",'Aircraft Calc'!C$211,'Aircraft Calc'!G$211)</f>
        <v>0.7</v>
      </c>
      <c r="H446" s="186">
        <f>IF(ALECA_Input!$F$13="ICAO (3000ft)",'Aircraft Calc'!D$211,'Aircraft Calc'!H$211)</f>
        <v>2.2000000000000002</v>
      </c>
      <c r="I446" s="186">
        <f>IF(ALECA_Input!$F$13="ICAO (3000ft)",'Aircraft Calc'!E$211,'Aircraft Calc'!I$211)</f>
        <v>4</v>
      </c>
      <c r="J446" s="189">
        <v>1</v>
      </c>
      <c r="K446" s="187">
        <f t="shared" si="109"/>
        <v>529.80300000000011</v>
      </c>
      <c r="L446" s="187">
        <f t="shared" si="110"/>
        <v>11.271646800000003</v>
      </c>
      <c r="M446" s="187">
        <f t="shared" si="111"/>
        <v>0.12229020000000002</v>
      </c>
      <c r="N446" s="187">
        <f t="shared" si="112"/>
        <v>0.35090459999999996</v>
      </c>
      <c r="O446" s="187">
        <f t="shared" si="113"/>
        <v>5.8372477702280989E-2</v>
      </c>
      <c r="P446" s="188">
        <f t="shared" si="114"/>
        <v>3.064125529706615E+17</v>
      </c>
      <c r="Q446" s="187">
        <f t="shared" si="115"/>
        <v>14219.999999999998</v>
      </c>
      <c r="R446" s="219">
        <f t="shared" si="116"/>
        <v>42.66</v>
      </c>
      <c r="S446" s="219">
        <f t="shared" si="117"/>
        <v>170.64</v>
      </c>
      <c r="T446" s="219">
        <f t="shared" si="118"/>
        <v>753.66</v>
      </c>
      <c r="U446" s="219">
        <f t="shared" si="119"/>
        <v>2.1495842972527863</v>
      </c>
      <c r="V446" s="188">
        <f t="shared" si="120"/>
        <v>2.0209450148213752E+16</v>
      </c>
      <c r="W446" s="323">
        <v>2.4419</v>
      </c>
      <c r="X446" s="323">
        <v>1.9996</v>
      </c>
      <c r="Y446" s="323">
        <v>0.6804</v>
      </c>
      <c r="Z446" s="323">
        <v>0.23699999999999999</v>
      </c>
      <c r="AA446" s="323">
        <v>31.6</v>
      </c>
      <c r="AB446" s="323">
        <v>25.6</v>
      </c>
      <c r="AC446" s="323">
        <v>7.8</v>
      </c>
      <c r="AD446" s="323">
        <v>3</v>
      </c>
      <c r="AE446" s="323">
        <v>0.2</v>
      </c>
      <c r="AF446" s="323">
        <v>0.2</v>
      </c>
      <c r="AG446" s="323">
        <v>0.3</v>
      </c>
      <c r="AH446" s="323">
        <v>12</v>
      </c>
      <c r="AI446" s="323">
        <v>0.2</v>
      </c>
      <c r="AJ446" s="323">
        <v>0.2</v>
      </c>
      <c r="AK446" s="323">
        <v>1.7</v>
      </c>
      <c r="AL446" s="323">
        <v>53</v>
      </c>
      <c r="AM446" s="323">
        <v>5.1543045946465728E-2</v>
      </c>
      <c r="AN446" s="323">
        <v>5.459394346422574E-2</v>
      </c>
      <c r="AO446" s="323">
        <v>2.211117837717989E-2</v>
      </c>
      <c r="AP446" s="323">
        <v>2.8166265629591195E-2</v>
      </c>
      <c r="AQ446" s="323">
        <v>0.12350304594646572</v>
      </c>
      <c r="AR446" s="323">
        <v>0.11875394346422574</v>
      </c>
      <c r="AS446" s="323">
        <v>8.7946178377179884E-2</v>
      </c>
      <c r="AT446" s="323">
        <v>0.15116626562959118</v>
      </c>
      <c r="AU446" s="190">
        <v>325091581424322.19</v>
      </c>
      <c r="AV446" s="190">
        <v>344334159750839.38</v>
      </c>
      <c r="AW446" s="190">
        <v>1115674530101855.5</v>
      </c>
      <c r="AX446" s="190">
        <v>1421199025894075.5</v>
      </c>
      <c r="AY446" s="203">
        <v>18.8</v>
      </c>
      <c r="AZ446" s="239">
        <v>235.8</v>
      </c>
      <c r="BA446" s="203">
        <v>1976</v>
      </c>
      <c r="BB446" s="204">
        <v>35684</v>
      </c>
      <c r="BC446" s="203" t="s">
        <v>741</v>
      </c>
    </row>
    <row r="447" spans="1:55" x14ac:dyDescent="0.2">
      <c r="A447" s="184" t="s">
        <v>1880</v>
      </c>
      <c r="B447" s="184" t="s">
        <v>1879</v>
      </c>
      <c r="C447" s="184" t="s">
        <v>723</v>
      </c>
      <c r="D447" s="185" t="s">
        <v>1043</v>
      </c>
      <c r="E447" s="184" t="s">
        <v>1866</v>
      </c>
      <c r="F447" s="184" t="s">
        <v>1881</v>
      </c>
      <c r="G447" s="186">
        <f>IF(ALECA_Input!$F$13="ICAO (3000ft)",'Aircraft Calc'!C$211,'Aircraft Calc'!G$211)</f>
        <v>0.7</v>
      </c>
      <c r="H447" s="186">
        <f>IF(ALECA_Input!$F$13="ICAO (3000ft)",'Aircraft Calc'!D$211,'Aircraft Calc'!H$211)</f>
        <v>2.2000000000000002</v>
      </c>
      <c r="I447" s="186">
        <f>IF(ALECA_Input!$F$13="ICAO (3000ft)",'Aircraft Calc'!E$211,'Aircraft Calc'!I$211)</f>
        <v>4</v>
      </c>
      <c r="J447" s="189">
        <v>1</v>
      </c>
      <c r="K447" s="187">
        <f t="shared" si="109"/>
        <v>475.35</v>
      </c>
      <c r="L447" s="187">
        <f t="shared" si="110"/>
        <v>12.544673399999999</v>
      </c>
      <c r="M447" s="187">
        <f t="shared" si="111"/>
        <v>8.9855999999999991E-2</v>
      </c>
      <c r="N447" s="187">
        <f t="shared" si="112"/>
        <v>1.1616389999999999</v>
      </c>
      <c r="O447" s="187">
        <f t="shared" si="113"/>
        <v>6.8793013899690308E-2</v>
      </c>
      <c r="P447" s="188">
        <f t="shared" si="114"/>
        <v>6.8761314178113306E+17</v>
      </c>
      <c r="Q447" s="187">
        <f t="shared" si="115"/>
        <v>13920</v>
      </c>
      <c r="R447" s="219">
        <f t="shared" si="116"/>
        <v>44.544000000000004</v>
      </c>
      <c r="S447" s="219">
        <f t="shared" si="117"/>
        <v>360.52799999999996</v>
      </c>
      <c r="T447" s="219">
        <f t="shared" si="118"/>
        <v>954.91199999999992</v>
      </c>
      <c r="U447" s="219">
        <f t="shared" si="119"/>
        <v>4.0655659546716176</v>
      </c>
      <c r="V447" s="188">
        <f t="shared" si="120"/>
        <v>5.8509746607562944E+16</v>
      </c>
      <c r="W447" s="323">
        <v>2.161</v>
      </c>
      <c r="X447" s="323">
        <v>1.7789999999999999</v>
      </c>
      <c r="Y447" s="323">
        <v>0.624</v>
      </c>
      <c r="Z447" s="323">
        <v>0.23200000000000001</v>
      </c>
      <c r="AA447" s="323">
        <v>41.7</v>
      </c>
      <c r="AB447" s="323">
        <v>31.5</v>
      </c>
      <c r="AC447" s="323">
        <v>9.1</v>
      </c>
      <c r="AD447" s="323">
        <v>3.2</v>
      </c>
      <c r="AE447" s="323">
        <v>0</v>
      </c>
      <c r="AF447" s="323">
        <v>0</v>
      </c>
      <c r="AG447" s="323">
        <v>0.6</v>
      </c>
      <c r="AH447" s="323">
        <v>25.9</v>
      </c>
      <c r="AI447" s="323">
        <v>0.9</v>
      </c>
      <c r="AJ447" s="323">
        <v>0.9</v>
      </c>
      <c r="AK447" s="323">
        <v>5.8</v>
      </c>
      <c r="AL447" s="323">
        <v>68.599999999999994</v>
      </c>
      <c r="AM447" s="323">
        <v>9.402825013333474E-2</v>
      </c>
      <c r="AN447" s="323">
        <v>9.4271971521076442E-2</v>
      </c>
      <c r="AO447" s="323">
        <v>6.5395214561546761E-2</v>
      </c>
      <c r="AP447" s="323">
        <v>8.3303519732156467E-2</v>
      </c>
      <c r="AQ447" s="323">
        <v>0.14298825013333474</v>
      </c>
      <c r="AR447" s="323">
        <v>0.14323197152107645</v>
      </c>
      <c r="AS447" s="323">
        <v>0.14810521456154677</v>
      </c>
      <c r="AT447" s="323">
        <v>0.29206651973215647</v>
      </c>
      <c r="AU447" s="190">
        <v>593053669473787.38</v>
      </c>
      <c r="AV447" s="190">
        <v>594590865615633</v>
      </c>
      <c r="AW447" s="190">
        <v>3299678290875837.5</v>
      </c>
      <c r="AX447" s="190">
        <v>4203286394221476</v>
      </c>
      <c r="AY447" s="203">
        <v>47.7</v>
      </c>
      <c r="AZ447" s="239">
        <v>213.5</v>
      </c>
      <c r="BA447" s="203">
        <v>1980</v>
      </c>
      <c r="BB447" s="204">
        <v>39296</v>
      </c>
      <c r="BC447" s="203" t="s">
        <v>1882</v>
      </c>
    </row>
    <row r="448" spans="1:55" x14ac:dyDescent="0.2">
      <c r="A448" s="184" t="s">
        <v>1883</v>
      </c>
      <c r="B448" s="184" t="s">
        <v>1883</v>
      </c>
      <c r="C448" s="184" t="s">
        <v>1886</v>
      </c>
      <c r="D448" s="185" t="s">
        <v>1043</v>
      </c>
      <c r="E448" s="184" t="s">
        <v>1884</v>
      </c>
      <c r="F448" s="184" t="s">
        <v>1885</v>
      </c>
      <c r="G448" s="186">
        <f>IF(ALECA_Input!$F$13="ICAO (3000ft)",'Aircraft Calc'!C$211,'Aircraft Calc'!G$211)</f>
        <v>0.7</v>
      </c>
      <c r="H448" s="186">
        <f>IF(ALECA_Input!$F$13="ICAO (3000ft)",'Aircraft Calc'!D$211,'Aircraft Calc'!H$211)</f>
        <v>2.2000000000000002</v>
      </c>
      <c r="I448" s="186">
        <f>IF(ALECA_Input!$F$13="ICAO (3000ft)",'Aircraft Calc'!E$211,'Aircraft Calc'!I$211)</f>
        <v>4</v>
      </c>
      <c r="J448" s="189">
        <v>1</v>
      </c>
      <c r="K448" s="187">
        <f t="shared" si="109"/>
        <v>529.80300000000011</v>
      </c>
      <c r="L448" s="187">
        <f t="shared" si="110"/>
        <v>11.271646800000003</v>
      </c>
      <c r="M448" s="187">
        <f t="shared" si="111"/>
        <v>0.12229020000000002</v>
      </c>
      <c r="N448" s="187">
        <f t="shared" si="112"/>
        <v>0.35090459999999996</v>
      </c>
      <c r="O448" s="187">
        <f t="shared" si="113"/>
        <v>5.8372477702280989E-2</v>
      </c>
      <c r="P448" s="188">
        <f t="shared" si="114"/>
        <v>3.064125529706615E+17</v>
      </c>
      <c r="Q448" s="187">
        <f t="shared" si="115"/>
        <v>14219.999999999998</v>
      </c>
      <c r="R448" s="219">
        <f t="shared" si="116"/>
        <v>42.66</v>
      </c>
      <c r="S448" s="219">
        <f t="shared" si="117"/>
        <v>170.64</v>
      </c>
      <c r="T448" s="219">
        <f t="shared" si="118"/>
        <v>753.66</v>
      </c>
      <c r="U448" s="219">
        <f t="shared" si="119"/>
        <v>2.1495842972527863</v>
      </c>
      <c r="V448" s="188">
        <f t="shared" si="120"/>
        <v>2.0209450148213752E+16</v>
      </c>
      <c r="W448" s="323">
        <v>2.4419</v>
      </c>
      <c r="X448" s="323">
        <v>1.9996</v>
      </c>
      <c r="Y448" s="323">
        <v>0.6804</v>
      </c>
      <c r="Z448" s="323">
        <v>0.23699999999999999</v>
      </c>
      <c r="AA448" s="323">
        <v>31.6</v>
      </c>
      <c r="AB448" s="323">
        <v>25.6</v>
      </c>
      <c r="AC448" s="323">
        <v>7.8</v>
      </c>
      <c r="AD448" s="323">
        <v>3</v>
      </c>
      <c r="AE448" s="323">
        <v>0.2</v>
      </c>
      <c r="AF448" s="323">
        <v>0.2</v>
      </c>
      <c r="AG448" s="323">
        <v>0.3</v>
      </c>
      <c r="AH448" s="323">
        <v>12</v>
      </c>
      <c r="AI448" s="323">
        <v>0.2</v>
      </c>
      <c r="AJ448" s="323">
        <v>0.2</v>
      </c>
      <c r="AK448" s="323">
        <v>1.7</v>
      </c>
      <c r="AL448" s="323">
        <v>53</v>
      </c>
      <c r="AM448" s="323">
        <v>5.1543045946465728E-2</v>
      </c>
      <c r="AN448" s="323">
        <v>5.459394346422574E-2</v>
      </c>
      <c r="AO448" s="323">
        <v>2.211117837717989E-2</v>
      </c>
      <c r="AP448" s="323">
        <v>2.8166265629591195E-2</v>
      </c>
      <c r="AQ448" s="323">
        <v>0.12350304594646572</v>
      </c>
      <c r="AR448" s="323">
        <v>0.11875394346422574</v>
      </c>
      <c r="AS448" s="323">
        <v>8.7946178377179884E-2</v>
      </c>
      <c r="AT448" s="323">
        <v>0.15116626562959118</v>
      </c>
      <c r="AU448" s="190">
        <v>325091581424322.19</v>
      </c>
      <c r="AV448" s="190">
        <v>344334159750839.38</v>
      </c>
      <c r="AW448" s="190">
        <v>1115674530101855.5</v>
      </c>
      <c r="AX448" s="190">
        <v>1421199025894075.5</v>
      </c>
      <c r="AY448" s="203">
        <v>15.9</v>
      </c>
      <c r="AZ448" s="239">
        <v>235.8</v>
      </c>
      <c r="BA448" s="203">
        <v>1976</v>
      </c>
      <c r="BB448" s="204">
        <v>40158</v>
      </c>
      <c r="BC448" s="203" t="s">
        <v>3131</v>
      </c>
    </row>
    <row r="449" spans="1:55" x14ac:dyDescent="0.2">
      <c r="A449" s="184" t="s">
        <v>1887</v>
      </c>
      <c r="B449" s="184" t="s">
        <v>1889</v>
      </c>
      <c r="C449" s="184" t="s">
        <v>723</v>
      </c>
      <c r="D449" s="185" t="s">
        <v>1043</v>
      </c>
      <c r="E449" s="184" t="s">
        <v>1888</v>
      </c>
      <c r="F449" s="184" t="s">
        <v>1890</v>
      </c>
      <c r="G449" s="186">
        <f>IF(ALECA_Input!$F$13="ICAO (3000ft)",'Aircraft Calc'!C$211,'Aircraft Calc'!G$211)</f>
        <v>0.7</v>
      </c>
      <c r="H449" s="186">
        <f>IF(ALECA_Input!$F$13="ICAO (3000ft)",'Aircraft Calc'!D$211,'Aircraft Calc'!H$211)</f>
        <v>2.2000000000000002</v>
      </c>
      <c r="I449" s="186">
        <f>IF(ALECA_Input!$F$13="ICAO (3000ft)",'Aircraft Calc'!E$211,'Aircraft Calc'!I$211)</f>
        <v>4</v>
      </c>
      <c r="J449" s="189">
        <v>1</v>
      </c>
      <c r="K449" s="187">
        <f t="shared" si="109"/>
        <v>490.03800000000001</v>
      </c>
      <c r="L449" s="187">
        <f t="shared" si="110"/>
        <v>11.753688600000002</v>
      </c>
      <c r="M449" s="187">
        <f t="shared" si="111"/>
        <v>6.3216180000000011E-2</v>
      </c>
      <c r="N449" s="187">
        <f t="shared" si="112"/>
        <v>0.39817170000000002</v>
      </c>
      <c r="O449" s="187">
        <f t="shared" si="113"/>
        <v>4.1091162328329468E-2</v>
      </c>
      <c r="P449" s="188">
        <f t="shared" si="114"/>
        <v>1.5421916998350301E+17</v>
      </c>
      <c r="Q449" s="187">
        <f t="shared" si="115"/>
        <v>12324</v>
      </c>
      <c r="R449" s="219">
        <f t="shared" si="116"/>
        <v>50.528399999999998</v>
      </c>
      <c r="S449" s="219">
        <f t="shared" si="117"/>
        <v>15.404999999999999</v>
      </c>
      <c r="T449" s="219">
        <f t="shared" si="118"/>
        <v>108.94416</v>
      </c>
      <c r="U449" s="219">
        <f t="shared" si="119"/>
        <v>0.84850025486420522</v>
      </c>
      <c r="V449" s="188">
        <f t="shared" si="120"/>
        <v>7572072803945252</v>
      </c>
      <c r="W449" s="323">
        <v>2.0550000000000002</v>
      </c>
      <c r="X449" s="323">
        <v>1.6779999999999999</v>
      </c>
      <c r="Y449" s="323">
        <v>0.75929999999999997</v>
      </c>
      <c r="Z449" s="323">
        <v>0.2054</v>
      </c>
      <c r="AA449" s="323">
        <v>38.5</v>
      </c>
      <c r="AB449" s="323">
        <v>30</v>
      </c>
      <c r="AC449" s="323">
        <v>9.8000000000000007</v>
      </c>
      <c r="AD449" s="323">
        <v>4.0999999999999996</v>
      </c>
      <c r="AE449" s="323">
        <v>0.15</v>
      </c>
      <c r="AF449" s="323">
        <v>0.12</v>
      </c>
      <c r="AG449" s="323">
        <v>0.13</v>
      </c>
      <c r="AH449" s="323">
        <v>1.25</v>
      </c>
      <c r="AI449" s="323">
        <v>0.51</v>
      </c>
      <c r="AJ449" s="323">
        <v>0.48</v>
      </c>
      <c r="AK449" s="323">
        <v>1.36</v>
      </c>
      <c r="AL449" s="323">
        <v>8.84</v>
      </c>
      <c r="AM449" s="323">
        <v>3.425188780036028E-2</v>
      </c>
      <c r="AN449" s="323">
        <v>3.4127806611699958E-2</v>
      </c>
      <c r="AO449" s="323">
        <v>9.5591676490148873E-3</v>
      </c>
      <c r="AP449" s="323">
        <v>1.2176920225917346E-2</v>
      </c>
      <c r="AQ449" s="323">
        <v>0.10046188780036031</v>
      </c>
      <c r="AR449" s="323">
        <v>9.2207806611699944E-2</v>
      </c>
      <c r="AS449" s="323">
        <v>6.583166764901488E-2</v>
      </c>
      <c r="AT449" s="323">
        <v>6.8849420225917335E-2</v>
      </c>
      <c r="AU449" s="190">
        <v>216033029622516.69</v>
      </c>
      <c r="AV449" s="190">
        <v>215250426477788.16</v>
      </c>
      <c r="AW449" s="190">
        <v>482331592330981.5</v>
      </c>
      <c r="AX449" s="190">
        <v>614416813043269.38</v>
      </c>
      <c r="AY449" s="203">
        <v>13.1</v>
      </c>
      <c r="AZ449" s="239">
        <v>213.5</v>
      </c>
      <c r="BA449" s="203">
        <v>1981</v>
      </c>
      <c r="BB449" s="204">
        <v>39296</v>
      </c>
      <c r="BC449" s="203" t="s">
        <v>3102</v>
      </c>
    </row>
    <row r="450" spans="1:55" x14ac:dyDescent="0.2">
      <c r="A450" s="184" t="s">
        <v>1891</v>
      </c>
      <c r="B450" s="184" t="s">
        <v>1893</v>
      </c>
      <c r="C450" s="184" t="s">
        <v>723</v>
      </c>
      <c r="D450" s="185" t="s">
        <v>1043</v>
      </c>
      <c r="E450" s="184" t="s">
        <v>1892</v>
      </c>
      <c r="F450" s="184" t="s">
        <v>1894</v>
      </c>
      <c r="G450" s="186">
        <f>IF(ALECA_Input!$F$13="ICAO (3000ft)",'Aircraft Calc'!C$211,'Aircraft Calc'!G$211)</f>
        <v>0.7</v>
      </c>
      <c r="H450" s="186">
        <f>IF(ALECA_Input!$F$13="ICAO (3000ft)",'Aircraft Calc'!D$211,'Aircraft Calc'!H$211)</f>
        <v>2.2000000000000002</v>
      </c>
      <c r="I450" s="186">
        <f>IF(ALECA_Input!$F$13="ICAO (3000ft)",'Aircraft Calc'!E$211,'Aircraft Calc'!I$211)</f>
        <v>4</v>
      </c>
      <c r="J450" s="189">
        <v>1</v>
      </c>
      <c r="K450" s="187">
        <f t="shared" si="109"/>
        <v>473.22</v>
      </c>
      <c r="L450" s="187">
        <f t="shared" si="110"/>
        <v>13.113033600000001</v>
      </c>
      <c r="M450" s="187">
        <f t="shared" si="111"/>
        <v>6.4187279999999999E-2</v>
      </c>
      <c r="N450" s="187">
        <f t="shared" si="112"/>
        <v>0.36405204000000002</v>
      </c>
      <c r="O450" s="187">
        <f t="shared" si="113"/>
        <v>4.1777802540597347E-2</v>
      </c>
      <c r="P450" s="188">
        <f t="shared" si="114"/>
        <v>1.591804343376272E+17</v>
      </c>
      <c r="Q450" s="187">
        <f t="shared" si="115"/>
        <v>13260</v>
      </c>
      <c r="R450" s="219">
        <f t="shared" si="116"/>
        <v>54.365999999999993</v>
      </c>
      <c r="S450" s="219">
        <f t="shared" si="117"/>
        <v>14.7186</v>
      </c>
      <c r="T450" s="219">
        <f t="shared" si="118"/>
        <v>109.66019999999999</v>
      </c>
      <c r="U450" s="219">
        <f t="shared" si="119"/>
        <v>0.919580820073996</v>
      </c>
      <c r="V450" s="188">
        <f t="shared" si="120"/>
        <v>9060018387339304</v>
      </c>
      <c r="W450" s="323">
        <v>2.1179999999999999</v>
      </c>
      <c r="X450" s="323">
        <v>1.724</v>
      </c>
      <c r="Y450" s="323">
        <v>0.65290000000000004</v>
      </c>
      <c r="Z450" s="323">
        <v>0.221</v>
      </c>
      <c r="AA450" s="323">
        <v>41.6</v>
      </c>
      <c r="AB450" s="323">
        <v>34.200000000000003</v>
      </c>
      <c r="AC450" s="323">
        <v>10.4</v>
      </c>
      <c r="AD450" s="323">
        <v>4.0999999999999996</v>
      </c>
      <c r="AE450" s="323">
        <v>0.16</v>
      </c>
      <c r="AF450" s="323">
        <v>0.13</v>
      </c>
      <c r="AG450" s="323">
        <v>0.13</v>
      </c>
      <c r="AH450" s="323">
        <v>1.1100000000000001</v>
      </c>
      <c r="AI450" s="323">
        <v>0.57000000000000006</v>
      </c>
      <c r="AJ450" s="323">
        <v>0.53</v>
      </c>
      <c r="AK450" s="323">
        <v>1.23</v>
      </c>
      <c r="AL450" s="323">
        <v>8.27</v>
      </c>
      <c r="AM450" s="323">
        <v>3.724282311838966E-2</v>
      </c>
      <c r="AN450" s="323">
        <v>3.7787663310466131E-2</v>
      </c>
      <c r="AO450" s="323">
        <v>1.0630227083280475E-2</v>
      </c>
      <c r="AP450" s="323">
        <v>1.3541286430919754E-2</v>
      </c>
      <c r="AQ450" s="323">
        <v>0.10460282311838967</v>
      </c>
      <c r="AR450" s="323">
        <v>9.6627663310466128E-2</v>
      </c>
      <c r="AS450" s="323">
        <v>6.6902727083280475E-2</v>
      </c>
      <c r="AT450" s="323">
        <v>6.9349986430919761E-2</v>
      </c>
      <c r="AU450" s="190">
        <v>234897415198136.75</v>
      </c>
      <c r="AV450" s="190">
        <v>238333823668246.16</v>
      </c>
      <c r="AW450" s="190">
        <v>536374561486740.63</v>
      </c>
      <c r="AX450" s="190">
        <v>683259305229208.5</v>
      </c>
      <c r="AY450" s="203">
        <v>14.5</v>
      </c>
      <c r="AZ450" s="239">
        <v>222.4</v>
      </c>
      <c r="BA450" s="203">
        <v>1981</v>
      </c>
      <c r="BB450" s="204">
        <v>39296</v>
      </c>
      <c r="BC450" s="203" t="s">
        <v>3102</v>
      </c>
    </row>
    <row r="451" spans="1:55" x14ac:dyDescent="0.2">
      <c r="A451" s="184" t="s">
        <v>1896</v>
      </c>
      <c r="B451" s="184" t="s">
        <v>1895</v>
      </c>
      <c r="C451" s="184" t="s">
        <v>723</v>
      </c>
      <c r="D451" s="185" t="s">
        <v>1043</v>
      </c>
      <c r="E451" s="184" t="s">
        <v>1897</v>
      </c>
      <c r="F451" s="184" t="s">
        <v>1898</v>
      </c>
      <c r="G451" s="186">
        <f>IF(ALECA_Input!$F$13="ICAO (3000ft)",'Aircraft Calc'!C$211,'Aircraft Calc'!G$211)</f>
        <v>0.7</v>
      </c>
      <c r="H451" s="186">
        <f>IF(ALECA_Input!$F$13="ICAO (3000ft)",'Aircraft Calc'!D$211,'Aircraft Calc'!H$211)</f>
        <v>2.2000000000000002</v>
      </c>
      <c r="I451" s="186">
        <f>IF(ALECA_Input!$F$13="ICAO (3000ft)",'Aircraft Calc'!E$211,'Aircraft Calc'!I$211)</f>
        <v>4</v>
      </c>
      <c r="J451" s="189">
        <v>1</v>
      </c>
      <c r="K451" s="187">
        <f t="shared" si="109"/>
        <v>488.18400000000008</v>
      </c>
      <c r="L451" s="187">
        <f t="shared" si="110"/>
        <v>11.913468</v>
      </c>
      <c r="M451" s="187">
        <f t="shared" si="111"/>
        <v>7.9151040000000006E-2</v>
      </c>
      <c r="N451" s="187">
        <f t="shared" si="112"/>
        <v>0.44842727999999998</v>
      </c>
      <c r="O451" s="187">
        <f t="shared" si="113"/>
        <v>4.160653340687781E-2</v>
      </c>
      <c r="P451" s="188">
        <f t="shared" si="114"/>
        <v>1.342981250298337E+17</v>
      </c>
      <c r="Q451" s="187">
        <f t="shared" si="115"/>
        <v>13230</v>
      </c>
      <c r="R451" s="219">
        <f t="shared" si="116"/>
        <v>46.305</v>
      </c>
      <c r="S451" s="219">
        <f t="shared" si="117"/>
        <v>44.320500000000003</v>
      </c>
      <c r="T451" s="219">
        <f t="shared" si="118"/>
        <v>211.68</v>
      </c>
      <c r="U451" s="219">
        <f t="shared" si="119"/>
        <v>1.0698043785921558</v>
      </c>
      <c r="V451" s="188">
        <f t="shared" si="120"/>
        <v>7498290267958415</v>
      </c>
      <c r="W451" s="323">
        <v>2.218</v>
      </c>
      <c r="X451" s="323">
        <v>1.829</v>
      </c>
      <c r="Y451" s="323">
        <v>0.64</v>
      </c>
      <c r="Z451" s="323">
        <v>0.2205</v>
      </c>
      <c r="AA451" s="323">
        <v>36.9</v>
      </c>
      <c r="AB451" s="323">
        <v>29.7</v>
      </c>
      <c r="AC451" s="323">
        <v>8.5</v>
      </c>
      <c r="AD451" s="323">
        <v>3.5</v>
      </c>
      <c r="AE451" s="323">
        <v>0.15</v>
      </c>
      <c r="AF451" s="323">
        <v>0.13</v>
      </c>
      <c r="AG451" s="323">
        <v>0.22</v>
      </c>
      <c r="AH451" s="323">
        <v>3.35</v>
      </c>
      <c r="AI451" s="323">
        <v>0.67</v>
      </c>
      <c r="AJ451" s="323">
        <v>0.67</v>
      </c>
      <c r="AK451" s="323">
        <v>1.46</v>
      </c>
      <c r="AL451" s="323">
        <v>16</v>
      </c>
      <c r="AM451" s="323">
        <v>3.1679036126581225E-2</v>
      </c>
      <c r="AN451" s="323">
        <v>3.1092049875346601E-2</v>
      </c>
      <c r="AO451" s="323">
        <v>8.8177826833647673E-3</v>
      </c>
      <c r="AP451" s="323">
        <v>1.1232508963881749E-2</v>
      </c>
      <c r="AQ451" s="323">
        <v>9.7889036126581216E-2</v>
      </c>
      <c r="AR451" s="323">
        <v>8.9932049875346601E-2</v>
      </c>
      <c r="AS451" s="323">
        <v>7.0152782683364778E-2</v>
      </c>
      <c r="AT451" s="323">
        <v>8.0862008963881765E-2</v>
      </c>
      <c r="AU451" s="190">
        <v>199805575384213.22</v>
      </c>
      <c r="AV451" s="190">
        <v>196103343876855.38</v>
      </c>
      <c r="AW451" s="190">
        <v>444923168905211.44</v>
      </c>
      <c r="AX451" s="190">
        <v>566764192589449.38</v>
      </c>
      <c r="AY451" s="203">
        <v>13.1</v>
      </c>
      <c r="AZ451" s="239">
        <v>222.41</v>
      </c>
      <c r="BA451" s="203">
        <v>1983</v>
      </c>
      <c r="BB451" s="204">
        <v>39296</v>
      </c>
      <c r="BC451" s="203" t="s">
        <v>3102</v>
      </c>
    </row>
    <row r="452" spans="1:55" x14ac:dyDescent="0.2">
      <c r="A452" s="184" t="s">
        <v>1900</v>
      </c>
      <c r="B452" s="184" t="s">
        <v>1899</v>
      </c>
      <c r="C452" s="184" t="s">
        <v>723</v>
      </c>
      <c r="D452" s="185" t="s">
        <v>1043</v>
      </c>
      <c r="E452" s="184" t="s">
        <v>1901</v>
      </c>
      <c r="F452" s="184" t="s">
        <v>1901</v>
      </c>
      <c r="G452" s="186">
        <f>IF(ALECA_Input!$F$13="ICAO (3000ft)",'Aircraft Calc'!C$211,'Aircraft Calc'!G$211)</f>
        <v>0.7</v>
      </c>
      <c r="H452" s="186">
        <f>IF(ALECA_Input!$F$13="ICAO (3000ft)",'Aircraft Calc'!D$211,'Aircraft Calc'!H$211)</f>
        <v>2.2000000000000002</v>
      </c>
      <c r="I452" s="186">
        <f>IF(ALECA_Input!$F$13="ICAO (3000ft)",'Aircraft Calc'!E$211,'Aircraft Calc'!I$211)</f>
        <v>4</v>
      </c>
      <c r="J452" s="189">
        <v>1</v>
      </c>
      <c r="K452" s="187">
        <f t="shared" si="109"/>
        <v>508.33800000000008</v>
      </c>
      <c r="L452" s="187">
        <f t="shared" si="110"/>
        <v>12.9258714</v>
      </c>
      <c r="M452" s="187">
        <f t="shared" si="111"/>
        <v>7.8513900000000011E-2</v>
      </c>
      <c r="N452" s="187">
        <f t="shared" si="112"/>
        <v>0.45325812000000004</v>
      </c>
      <c r="O452" s="187">
        <f t="shared" si="113"/>
        <v>5.0525140153734646E-2</v>
      </c>
      <c r="P452" s="188">
        <f t="shared" si="114"/>
        <v>2.4083306913064992E+17</v>
      </c>
      <c r="Q452" s="187">
        <f t="shared" si="115"/>
        <v>13434</v>
      </c>
      <c r="R452" s="219">
        <f t="shared" si="116"/>
        <v>51.049199999999999</v>
      </c>
      <c r="S452" s="219">
        <f t="shared" si="117"/>
        <v>20.822700000000001</v>
      </c>
      <c r="T452" s="219">
        <f t="shared" si="118"/>
        <v>158.78987999999998</v>
      </c>
      <c r="U452" s="219">
        <f t="shared" si="119"/>
        <v>1.0729123994586425</v>
      </c>
      <c r="V452" s="188">
        <f t="shared" si="120"/>
        <v>1.4466550517086308E+16</v>
      </c>
      <c r="W452" s="323">
        <v>2.4289999999999998</v>
      </c>
      <c r="X452" s="323">
        <v>1.8800000000000001</v>
      </c>
      <c r="Y452" s="323">
        <v>0.65900000000000003</v>
      </c>
      <c r="Z452" s="323">
        <v>0.22389999999999999</v>
      </c>
      <c r="AA452" s="323">
        <v>41.300000000000004</v>
      </c>
      <c r="AB452" s="323">
        <v>29.5</v>
      </c>
      <c r="AC452" s="323">
        <v>8.8000000000000007</v>
      </c>
      <c r="AD452" s="323">
        <v>3.8000000000000003</v>
      </c>
      <c r="AE452" s="323">
        <v>0.15</v>
      </c>
      <c r="AF452" s="323">
        <v>0.14000000000000001</v>
      </c>
      <c r="AG452" s="323">
        <v>0.18</v>
      </c>
      <c r="AH452" s="323">
        <v>1.55</v>
      </c>
      <c r="AI452" s="323">
        <v>0.74</v>
      </c>
      <c r="AJ452" s="323">
        <v>0.63</v>
      </c>
      <c r="AK452" s="323">
        <v>1.4000000000000001</v>
      </c>
      <c r="AL452" s="323">
        <v>11.82</v>
      </c>
      <c r="AM452" s="323">
        <v>4.6626640501972696E-2</v>
      </c>
      <c r="AN452" s="323">
        <v>4.9277687759350909E-2</v>
      </c>
      <c r="AO452" s="323">
        <v>1.6753927469928397E-2</v>
      </c>
      <c r="AP452" s="323">
        <v>2.1341945843281401E-2</v>
      </c>
      <c r="AQ452" s="323">
        <v>0.11283664050197269</v>
      </c>
      <c r="AR452" s="323">
        <v>0.10887768775935092</v>
      </c>
      <c r="AS452" s="323">
        <v>7.5838927469928388E-2</v>
      </c>
      <c r="AT452" s="323">
        <v>7.986544584328141E-2</v>
      </c>
      <c r="AU452" s="190">
        <v>294082897487920.5</v>
      </c>
      <c r="AV452" s="190">
        <v>310803545821874.63</v>
      </c>
      <c r="AW452" s="190">
        <v>845361103715040.75</v>
      </c>
      <c r="AX452" s="190">
        <v>1076860988319659.8</v>
      </c>
      <c r="AY452" s="203">
        <v>14.3</v>
      </c>
      <c r="AZ452" s="239">
        <v>243.5</v>
      </c>
      <c r="BA452" s="203">
        <v>1983</v>
      </c>
      <c r="BB452" s="204">
        <v>39296</v>
      </c>
      <c r="BC452" s="203" t="s">
        <v>3102</v>
      </c>
    </row>
    <row r="453" spans="1:55" x14ac:dyDescent="0.2">
      <c r="A453" s="184" t="s">
        <v>1903</v>
      </c>
      <c r="B453" s="184" t="s">
        <v>1902</v>
      </c>
      <c r="C453" s="184" t="s">
        <v>723</v>
      </c>
      <c r="D453" s="185" t="s">
        <v>1043</v>
      </c>
      <c r="E453" s="184" t="s">
        <v>1904</v>
      </c>
      <c r="F453" s="184" t="s">
        <v>1905</v>
      </c>
      <c r="G453" s="186">
        <f>IF(ALECA_Input!$F$13="ICAO (3000ft)",'Aircraft Calc'!C$211,'Aircraft Calc'!G$211)</f>
        <v>0.7</v>
      </c>
      <c r="H453" s="186">
        <f>IF(ALECA_Input!$F$13="ICAO (3000ft)",'Aircraft Calc'!D$211,'Aircraft Calc'!H$211)</f>
        <v>2.2000000000000002</v>
      </c>
      <c r="I453" s="186">
        <f>IF(ALECA_Input!$F$13="ICAO (3000ft)",'Aircraft Calc'!E$211,'Aircraft Calc'!I$211)</f>
        <v>4</v>
      </c>
      <c r="J453" s="189">
        <v>1</v>
      </c>
      <c r="K453" s="187">
        <f t="shared" si="109"/>
        <v>542.81999999999994</v>
      </c>
      <c r="L453" s="187">
        <f t="shared" si="110"/>
        <v>14.228508</v>
      </c>
      <c r="M453" s="187">
        <f t="shared" si="111"/>
        <v>8.3987760000000009E-2</v>
      </c>
      <c r="N453" s="187">
        <f t="shared" si="112"/>
        <v>0.48540252000000006</v>
      </c>
      <c r="O453" s="187">
        <f t="shared" si="113"/>
        <v>5.5691981795135591E-2</v>
      </c>
      <c r="P453" s="188">
        <f t="shared" si="114"/>
        <v>2.981573359060464E+17</v>
      </c>
      <c r="Q453" s="187">
        <f t="shared" si="115"/>
        <v>14724</v>
      </c>
      <c r="R453" s="219">
        <f t="shared" si="116"/>
        <v>55.951200000000007</v>
      </c>
      <c r="S453" s="219">
        <f t="shared" si="117"/>
        <v>21.791519999999998</v>
      </c>
      <c r="T453" s="219">
        <f t="shared" si="118"/>
        <v>171.24012000000002</v>
      </c>
      <c r="U453" s="219">
        <f t="shared" si="119"/>
        <v>1.2344499152331143</v>
      </c>
      <c r="V453" s="188">
        <f t="shared" si="120"/>
        <v>1.912889796369244E+16</v>
      </c>
      <c r="W453" s="323">
        <v>2.512</v>
      </c>
      <c r="X453" s="323">
        <v>1.9990000000000001</v>
      </c>
      <c r="Y453" s="323">
        <v>0.72270000000000001</v>
      </c>
      <c r="Z453" s="323">
        <v>0.24540000000000001</v>
      </c>
      <c r="AA453" s="323">
        <v>45.2</v>
      </c>
      <c r="AB453" s="323">
        <v>30</v>
      </c>
      <c r="AC453" s="323">
        <v>8.9</v>
      </c>
      <c r="AD453" s="323">
        <v>3.8000000000000003</v>
      </c>
      <c r="AE453" s="323">
        <v>0.15</v>
      </c>
      <c r="AF453" s="323">
        <v>0.14000000000000001</v>
      </c>
      <c r="AG453" s="323">
        <v>0.18</v>
      </c>
      <c r="AH453" s="323">
        <v>1.48</v>
      </c>
      <c r="AI453" s="323">
        <v>0.74</v>
      </c>
      <c r="AJ453" s="323">
        <v>0.63</v>
      </c>
      <c r="AK453" s="323">
        <v>1.3900000000000001</v>
      </c>
      <c r="AL453" s="323">
        <v>11.63</v>
      </c>
      <c r="AM453" s="323">
        <v>4.992282842724536E-2</v>
      </c>
      <c r="AN453" s="323">
        <v>5.2901334902436474E-2</v>
      </c>
      <c r="AO453" s="323">
        <v>2.0212551004977763E-2</v>
      </c>
      <c r="AP453" s="323">
        <v>2.574770421306128E-2</v>
      </c>
      <c r="AQ453" s="323">
        <v>0.11613282842724537</v>
      </c>
      <c r="AR453" s="323">
        <v>0.11250133490243648</v>
      </c>
      <c r="AS453" s="323">
        <v>7.9297551004977762E-2</v>
      </c>
      <c r="AT453" s="323">
        <v>8.383930421306128E-2</v>
      </c>
      <c r="AU453" s="190">
        <v>314872568055927</v>
      </c>
      <c r="AV453" s="190">
        <v>333658562607125.13</v>
      </c>
      <c r="AW453" s="190">
        <v>1019874561181777.8</v>
      </c>
      <c r="AX453" s="190">
        <v>1299164490878323.8</v>
      </c>
      <c r="AY453" s="203">
        <v>15.7</v>
      </c>
      <c r="AZ453" s="239">
        <v>249.1</v>
      </c>
      <c r="BA453" s="203">
        <v>1983</v>
      </c>
      <c r="BB453" s="204">
        <v>39296</v>
      </c>
      <c r="BC453" s="203" t="s">
        <v>3102</v>
      </c>
    </row>
    <row r="454" spans="1:55" x14ac:dyDescent="0.2">
      <c r="A454" s="184" t="s">
        <v>759</v>
      </c>
      <c r="B454" s="184" t="s">
        <v>1906</v>
      </c>
      <c r="C454" s="184" t="s">
        <v>723</v>
      </c>
      <c r="D454" s="185" t="s">
        <v>1043</v>
      </c>
      <c r="E454" s="184" t="s">
        <v>1907</v>
      </c>
      <c r="F454" s="184" t="s">
        <v>1907</v>
      </c>
      <c r="G454" s="186">
        <f>IF(ALECA_Input!$F$13="ICAO (3000ft)",'Aircraft Calc'!C$211,'Aircraft Calc'!G$211)</f>
        <v>0.7</v>
      </c>
      <c r="H454" s="186">
        <f>IF(ALECA_Input!$F$13="ICAO (3000ft)",'Aircraft Calc'!D$211,'Aircraft Calc'!H$211)</f>
        <v>2.2000000000000002</v>
      </c>
      <c r="I454" s="186">
        <f>IF(ALECA_Input!$F$13="ICAO (3000ft)",'Aircraft Calc'!E$211,'Aircraft Calc'!I$211)</f>
        <v>4</v>
      </c>
      <c r="J454" s="189">
        <v>1</v>
      </c>
      <c r="K454" s="187">
        <f t="shared" si="109"/>
        <v>542.81999999999994</v>
      </c>
      <c r="L454" s="187">
        <f t="shared" si="110"/>
        <v>15.3367536</v>
      </c>
      <c r="M454" s="187">
        <f t="shared" si="111"/>
        <v>8.3987760000000009E-2</v>
      </c>
      <c r="N454" s="187">
        <f t="shared" si="112"/>
        <v>0.48540252000000006</v>
      </c>
      <c r="O454" s="187">
        <f t="shared" si="113"/>
        <v>5.5691981795135591E-2</v>
      </c>
      <c r="P454" s="188">
        <f t="shared" si="114"/>
        <v>2.981573359060464E+17</v>
      </c>
      <c r="Q454" s="187">
        <f t="shared" si="115"/>
        <v>14724</v>
      </c>
      <c r="R454" s="219">
        <f t="shared" si="116"/>
        <v>55.951200000000007</v>
      </c>
      <c r="S454" s="219">
        <f t="shared" si="117"/>
        <v>21.791519999999998</v>
      </c>
      <c r="T454" s="219">
        <f t="shared" si="118"/>
        <v>171.24012000000002</v>
      </c>
      <c r="U454" s="219">
        <f t="shared" si="119"/>
        <v>1.2344499152331143</v>
      </c>
      <c r="V454" s="188">
        <f t="shared" si="120"/>
        <v>1.912889796369244E+16</v>
      </c>
      <c r="W454" s="323">
        <v>2.512</v>
      </c>
      <c r="X454" s="323">
        <v>1.9990000000000001</v>
      </c>
      <c r="Y454" s="323">
        <v>0.72270000000000001</v>
      </c>
      <c r="Z454" s="323">
        <v>0.24540000000000001</v>
      </c>
      <c r="AA454" s="323">
        <v>45.2</v>
      </c>
      <c r="AB454" s="323">
        <v>34.200000000000003</v>
      </c>
      <c r="AC454" s="323">
        <v>8.9</v>
      </c>
      <c r="AD454" s="323">
        <v>3.8000000000000003</v>
      </c>
      <c r="AE454" s="323">
        <v>0.15</v>
      </c>
      <c r="AF454" s="323">
        <v>0.14000000000000001</v>
      </c>
      <c r="AG454" s="323">
        <v>0.18</v>
      </c>
      <c r="AH454" s="323">
        <v>1.48</v>
      </c>
      <c r="AI454" s="323">
        <v>0.74</v>
      </c>
      <c r="AJ454" s="323">
        <v>0.63</v>
      </c>
      <c r="AK454" s="323">
        <v>1.3900000000000001</v>
      </c>
      <c r="AL454" s="323">
        <v>11.63</v>
      </c>
      <c r="AM454" s="323">
        <v>4.992282842724536E-2</v>
      </c>
      <c r="AN454" s="323">
        <v>5.2901334902436474E-2</v>
      </c>
      <c r="AO454" s="323">
        <v>2.0212551004977763E-2</v>
      </c>
      <c r="AP454" s="323">
        <v>2.574770421306128E-2</v>
      </c>
      <c r="AQ454" s="323">
        <v>0.11613282842724537</v>
      </c>
      <c r="AR454" s="323">
        <v>0.11250133490243648</v>
      </c>
      <c r="AS454" s="323">
        <v>7.9297551004977762E-2</v>
      </c>
      <c r="AT454" s="323">
        <v>8.383930421306128E-2</v>
      </c>
      <c r="AU454" s="190">
        <v>314872568055927</v>
      </c>
      <c r="AV454" s="190">
        <v>333658562607125.13</v>
      </c>
      <c r="AW454" s="190">
        <v>1019874561181777.8</v>
      </c>
      <c r="AX454" s="190">
        <v>1299164490878323.8</v>
      </c>
      <c r="AY454" s="203">
        <v>16.8</v>
      </c>
      <c r="AZ454" s="239">
        <v>239.92000000000002</v>
      </c>
      <c r="BB454" s="204">
        <v>35684</v>
      </c>
      <c r="BC454" s="203" t="s">
        <v>1109</v>
      </c>
    </row>
    <row r="455" spans="1:55" x14ac:dyDescent="0.2">
      <c r="A455" s="184" t="s">
        <v>1909</v>
      </c>
      <c r="B455" s="184" t="s">
        <v>1908</v>
      </c>
      <c r="C455" s="184" t="s">
        <v>723</v>
      </c>
      <c r="D455" s="185" t="s">
        <v>1043</v>
      </c>
      <c r="E455" s="184" t="s">
        <v>1910</v>
      </c>
      <c r="F455" s="184" t="s">
        <v>1910</v>
      </c>
      <c r="G455" s="186">
        <f>IF(ALECA_Input!$F$13="ICAO (3000ft)",'Aircraft Calc'!C$211,'Aircraft Calc'!G$211)</f>
        <v>0.7</v>
      </c>
      <c r="H455" s="186">
        <f>IF(ALECA_Input!$F$13="ICAO (3000ft)",'Aircraft Calc'!D$211,'Aircraft Calc'!H$211)</f>
        <v>2.2000000000000002</v>
      </c>
      <c r="I455" s="186">
        <f>IF(ALECA_Input!$F$13="ICAO (3000ft)",'Aircraft Calc'!E$211,'Aircraft Calc'!I$211)</f>
        <v>4</v>
      </c>
      <c r="J455" s="189">
        <v>1</v>
      </c>
      <c r="K455" s="187">
        <f t="shared" si="109"/>
        <v>511.25400000000002</v>
      </c>
      <c r="L455" s="187">
        <f t="shared" si="110"/>
        <v>14.659584600000002</v>
      </c>
      <c r="M455" s="187">
        <f t="shared" si="111"/>
        <v>8.1480000000000011E-2</v>
      </c>
      <c r="N455" s="187">
        <f t="shared" si="112"/>
        <v>1.2097446000000001</v>
      </c>
      <c r="O455" s="187">
        <f t="shared" si="113"/>
        <v>7.308171502338133E-2</v>
      </c>
      <c r="P455" s="188">
        <f t="shared" si="114"/>
        <v>7.4465854364898611E+17</v>
      </c>
      <c r="Q455" s="187">
        <f t="shared" si="115"/>
        <v>14280</v>
      </c>
      <c r="R455" s="219">
        <f t="shared" si="116"/>
        <v>47.124000000000002</v>
      </c>
      <c r="S455" s="219">
        <f t="shared" si="117"/>
        <v>349.85999999999996</v>
      </c>
      <c r="T455" s="219">
        <f t="shared" si="118"/>
        <v>952.476</v>
      </c>
      <c r="U455" s="219">
        <f t="shared" si="119"/>
        <v>4.0473592617751946</v>
      </c>
      <c r="V455" s="188">
        <f t="shared" si="120"/>
        <v>6.0022929709482672E+16</v>
      </c>
      <c r="W455" s="323">
        <v>2.3149999999999999</v>
      </c>
      <c r="X455" s="323">
        <v>1.9019999999999999</v>
      </c>
      <c r="Y455" s="323">
        <v>0.67900000000000005</v>
      </c>
      <c r="Z455" s="323">
        <v>0.23799999999999999</v>
      </c>
      <c r="AA455" s="323">
        <v>44.9</v>
      </c>
      <c r="AB455" s="323">
        <v>34.9</v>
      </c>
      <c r="AC455" s="323">
        <v>9.4</v>
      </c>
      <c r="AD455" s="323">
        <v>3.3000000000000003</v>
      </c>
      <c r="AE455" s="323">
        <v>0</v>
      </c>
      <c r="AF455" s="323">
        <v>0</v>
      </c>
      <c r="AG455" s="323">
        <v>0.5</v>
      </c>
      <c r="AH455" s="323">
        <v>24.5</v>
      </c>
      <c r="AI455" s="323">
        <v>0.9</v>
      </c>
      <c r="AJ455" s="323">
        <v>0.9</v>
      </c>
      <c r="AK455" s="323">
        <v>5.5</v>
      </c>
      <c r="AL455" s="323">
        <v>66.7</v>
      </c>
      <c r="AM455" s="323">
        <v>9.402825013333474E-2</v>
      </c>
      <c r="AN455" s="323">
        <v>9.4271971521076442E-2</v>
      </c>
      <c r="AO455" s="323">
        <v>6.5395214561546761E-2</v>
      </c>
      <c r="AP455" s="323">
        <v>8.3303519732156467E-2</v>
      </c>
      <c r="AQ455" s="323">
        <v>0.14298825013333474</v>
      </c>
      <c r="AR455" s="323">
        <v>0.14323197152107645</v>
      </c>
      <c r="AS455" s="323">
        <v>0.14248021456154678</v>
      </c>
      <c r="AT455" s="323">
        <v>0.28342851973215649</v>
      </c>
      <c r="AU455" s="190">
        <v>593053669473787.38</v>
      </c>
      <c r="AV455" s="190">
        <v>594590865615633</v>
      </c>
      <c r="AW455" s="190">
        <v>3299678290875837.5</v>
      </c>
      <c r="AX455" s="190">
        <v>4203286394221476</v>
      </c>
      <c r="AY455" s="203">
        <v>51.5</v>
      </c>
      <c r="AZ455" s="239">
        <v>222.4</v>
      </c>
      <c r="BA455" s="203">
        <v>1980</v>
      </c>
      <c r="BB455" s="204">
        <v>35684</v>
      </c>
      <c r="BC455" s="203" t="s">
        <v>3102</v>
      </c>
    </row>
    <row r="456" spans="1:55" x14ac:dyDescent="0.2">
      <c r="A456" s="184" t="s">
        <v>1912</v>
      </c>
      <c r="B456" s="184" t="s">
        <v>1911</v>
      </c>
      <c r="C456" s="184" t="s">
        <v>723</v>
      </c>
      <c r="D456" s="185" t="s">
        <v>1043</v>
      </c>
      <c r="E456" s="184" t="s">
        <v>1913</v>
      </c>
      <c r="F456" s="184" t="s">
        <v>1913</v>
      </c>
      <c r="G456" s="186">
        <f>IF(ALECA_Input!$F$13="ICAO (3000ft)",'Aircraft Calc'!C$211,'Aircraft Calc'!G$211)</f>
        <v>0.7</v>
      </c>
      <c r="H456" s="186">
        <f>IF(ALECA_Input!$F$13="ICAO (3000ft)",'Aircraft Calc'!D$211,'Aircraft Calc'!H$211)</f>
        <v>2.2000000000000002</v>
      </c>
      <c r="I456" s="186">
        <f>IF(ALECA_Input!$F$13="ICAO (3000ft)",'Aircraft Calc'!E$211,'Aircraft Calc'!I$211)</f>
        <v>4</v>
      </c>
      <c r="J456" s="189">
        <v>1</v>
      </c>
      <c r="K456" s="187">
        <f t="shared" si="109"/>
        <v>472.86599999999999</v>
      </c>
      <c r="L456" s="187">
        <f t="shared" si="110"/>
        <v>11.270988600000001</v>
      </c>
      <c r="M456" s="187">
        <f t="shared" si="111"/>
        <v>0.22555860000000003</v>
      </c>
      <c r="N456" s="187">
        <f t="shared" si="112"/>
        <v>1.1290560000000001</v>
      </c>
      <c r="O456" s="187">
        <f t="shared" si="113"/>
        <v>6.2069945754636209E-2</v>
      </c>
      <c r="P456" s="188">
        <f t="shared" si="114"/>
        <v>3.1517387596211955E+17</v>
      </c>
      <c r="Q456" s="187">
        <f t="shared" si="115"/>
        <v>12660</v>
      </c>
      <c r="R456" s="219">
        <f t="shared" si="116"/>
        <v>39.246000000000002</v>
      </c>
      <c r="S456" s="219">
        <f t="shared" si="117"/>
        <v>457.02600000000001</v>
      </c>
      <c r="T456" s="219">
        <f t="shared" si="118"/>
        <v>1058.3760000000002</v>
      </c>
      <c r="U456" s="219">
        <f t="shared" si="119"/>
        <v>3.5216457011054434</v>
      </c>
      <c r="V456" s="188">
        <f t="shared" si="120"/>
        <v>4135580587059425</v>
      </c>
      <c r="W456" s="323">
        <v>2.0990000000000002</v>
      </c>
      <c r="X456" s="323">
        <v>1.7889999999999999</v>
      </c>
      <c r="Y456" s="323">
        <v>0.61899999999999999</v>
      </c>
      <c r="Z456" s="323">
        <v>0.21099999999999999</v>
      </c>
      <c r="AA456" s="323">
        <v>38.700000000000003</v>
      </c>
      <c r="AB456" s="323">
        <v>28.5</v>
      </c>
      <c r="AC456" s="323">
        <v>7.6000000000000005</v>
      </c>
      <c r="AD456" s="323">
        <v>3.1</v>
      </c>
      <c r="AE456" s="323">
        <v>0.1</v>
      </c>
      <c r="AF456" s="323">
        <v>0.1</v>
      </c>
      <c r="AG456" s="323">
        <v>1.3</v>
      </c>
      <c r="AH456" s="323">
        <v>36.1</v>
      </c>
      <c r="AI456" s="323">
        <v>0</v>
      </c>
      <c r="AJ456" s="323">
        <v>0</v>
      </c>
      <c r="AK456" s="323">
        <v>7.6000000000000005</v>
      </c>
      <c r="AL456" s="323">
        <v>83.600000000000009</v>
      </c>
      <c r="AM456" s="323">
        <v>7.126616845623604E-2</v>
      </c>
      <c r="AN456" s="323">
        <v>6.5347697217630438E-2</v>
      </c>
      <c r="AO456" s="323">
        <v>2.3775065383160768E-2</v>
      </c>
      <c r="AP456" s="323">
        <v>6.4740664380286746E-3</v>
      </c>
      <c r="AQ456" s="323">
        <v>0.13172616845623603</v>
      </c>
      <c r="AR456" s="323">
        <v>0.12190769721763042</v>
      </c>
      <c r="AS456" s="323">
        <v>0.14586006538316076</v>
      </c>
      <c r="AT456" s="323">
        <v>0.27817106643802869</v>
      </c>
      <c r="AU456" s="190">
        <v>449488984984569.69</v>
      </c>
      <c r="AV456" s="190">
        <v>412160085629823.75</v>
      </c>
      <c r="AW456" s="190">
        <v>1199630089677829</v>
      </c>
      <c r="AX456" s="190">
        <v>326665133259038.31</v>
      </c>
      <c r="AY456" s="203">
        <v>40.1</v>
      </c>
      <c r="AZ456" s="239">
        <v>205.3</v>
      </c>
      <c r="BA456" s="203">
        <v>1977</v>
      </c>
      <c r="BB456" s="204">
        <v>39296</v>
      </c>
      <c r="BC456" s="203" t="s">
        <v>741</v>
      </c>
    </row>
    <row r="457" spans="1:55" x14ac:dyDescent="0.2">
      <c r="A457" s="184" t="s">
        <v>1915</v>
      </c>
      <c r="B457" s="184" t="s">
        <v>1914</v>
      </c>
      <c r="C457" s="184" t="s">
        <v>723</v>
      </c>
      <c r="D457" s="185" t="s">
        <v>1043</v>
      </c>
      <c r="E457" s="184" t="s">
        <v>1916</v>
      </c>
      <c r="F457" s="184" t="s">
        <v>1916</v>
      </c>
      <c r="G457" s="186">
        <f>IF(ALECA_Input!$F$13="ICAO (3000ft)",'Aircraft Calc'!C$211,'Aircraft Calc'!G$211)</f>
        <v>0.7</v>
      </c>
      <c r="H457" s="186">
        <f>IF(ALECA_Input!$F$13="ICAO (3000ft)",'Aircraft Calc'!D$211,'Aircraft Calc'!H$211)</f>
        <v>2.2000000000000002</v>
      </c>
      <c r="I457" s="186">
        <f>IF(ALECA_Input!$F$13="ICAO (3000ft)",'Aircraft Calc'!E$211,'Aircraft Calc'!I$211)</f>
        <v>4</v>
      </c>
      <c r="J457" s="189">
        <v>1</v>
      </c>
      <c r="K457" s="187">
        <f t="shared" si="109"/>
        <v>511.25400000000002</v>
      </c>
      <c r="L457" s="187">
        <f t="shared" si="110"/>
        <v>14.659584600000002</v>
      </c>
      <c r="M457" s="187">
        <f t="shared" si="111"/>
        <v>8.1480000000000011E-2</v>
      </c>
      <c r="N457" s="187">
        <f t="shared" si="112"/>
        <v>1.2097446000000001</v>
      </c>
      <c r="O457" s="187">
        <f t="shared" si="113"/>
        <v>7.308171502338133E-2</v>
      </c>
      <c r="P457" s="188">
        <f t="shared" si="114"/>
        <v>7.4465854364898611E+17</v>
      </c>
      <c r="Q457" s="187">
        <f t="shared" si="115"/>
        <v>14280</v>
      </c>
      <c r="R457" s="219">
        <f t="shared" si="116"/>
        <v>47.124000000000002</v>
      </c>
      <c r="S457" s="219">
        <f t="shared" si="117"/>
        <v>349.85999999999996</v>
      </c>
      <c r="T457" s="219">
        <f t="shared" si="118"/>
        <v>952.476</v>
      </c>
      <c r="U457" s="219">
        <f t="shared" si="119"/>
        <v>4.0473592617751946</v>
      </c>
      <c r="V457" s="188">
        <f t="shared" si="120"/>
        <v>6.0022929709482672E+16</v>
      </c>
      <c r="W457" s="323">
        <v>2.3149999999999999</v>
      </c>
      <c r="X457" s="323">
        <v>1.9019999999999999</v>
      </c>
      <c r="Y457" s="323">
        <v>0.67900000000000005</v>
      </c>
      <c r="Z457" s="323">
        <v>0.23799999999999999</v>
      </c>
      <c r="AA457" s="323">
        <v>44.9</v>
      </c>
      <c r="AB457" s="323">
        <v>34.9</v>
      </c>
      <c r="AC457" s="323">
        <v>9.4</v>
      </c>
      <c r="AD457" s="323">
        <v>3.3000000000000003</v>
      </c>
      <c r="AE457" s="323">
        <v>0</v>
      </c>
      <c r="AF457" s="323">
        <v>0</v>
      </c>
      <c r="AG457" s="323">
        <v>0.5</v>
      </c>
      <c r="AH457" s="323">
        <v>24.5</v>
      </c>
      <c r="AI457" s="323">
        <v>0.9</v>
      </c>
      <c r="AJ457" s="323">
        <v>0.9</v>
      </c>
      <c r="AK457" s="323">
        <v>5.5</v>
      </c>
      <c r="AL457" s="323">
        <v>66.7</v>
      </c>
      <c r="AM457" s="323">
        <v>9.402825013333474E-2</v>
      </c>
      <c r="AN457" s="323">
        <v>9.4271971521076442E-2</v>
      </c>
      <c r="AO457" s="323">
        <v>6.5395214561546761E-2</v>
      </c>
      <c r="AP457" s="323">
        <v>8.3303519732156467E-2</v>
      </c>
      <c r="AQ457" s="323">
        <v>0.14298825013333474</v>
      </c>
      <c r="AR457" s="323">
        <v>0.14323197152107645</v>
      </c>
      <c r="AS457" s="323">
        <v>0.14248021456154678</v>
      </c>
      <c r="AT457" s="323">
        <v>0.28342851973215649</v>
      </c>
      <c r="AU457" s="190">
        <v>593053669473787.38</v>
      </c>
      <c r="AV457" s="190">
        <v>594590865615633</v>
      </c>
      <c r="AW457" s="190">
        <v>3299678290875837.5</v>
      </c>
      <c r="AX457" s="190">
        <v>4203286394221476</v>
      </c>
      <c r="AY457" s="203">
        <v>51.5</v>
      </c>
      <c r="AZ457" s="239">
        <v>222.4</v>
      </c>
      <c r="BA457" s="203">
        <v>1980</v>
      </c>
      <c r="BB457" s="204">
        <v>35684</v>
      </c>
      <c r="BC457" s="203" t="s">
        <v>3102</v>
      </c>
    </row>
    <row r="458" spans="1:55" x14ac:dyDescent="0.2">
      <c r="A458" s="184" t="s">
        <v>759</v>
      </c>
      <c r="B458" s="184" t="s">
        <v>1919</v>
      </c>
      <c r="C458" s="184" t="s">
        <v>723</v>
      </c>
      <c r="D458" s="185" t="s">
        <v>1043</v>
      </c>
      <c r="E458" s="184" t="s">
        <v>1920</v>
      </c>
      <c r="F458" s="184" t="s">
        <v>1920</v>
      </c>
      <c r="G458" s="186">
        <f>IF(ALECA_Input!$F$13="ICAO (3000ft)",'Aircraft Calc'!C$211,'Aircraft Calc'!G$211)</f>
        <v>0.7</v>
      </c>
      <c r="H458" s="186">
        <f>IF(ALECA_Input!$F$13="ICAO (3000ft)",'Aircraft Calc'!D$211,'Aircraft Calc'!H$211)</f>
        <v>2.2000000000000002</v>
      </c>
      <c r="I458" s="186">
        <f>IF(ALECA_Input!$F$13="ICAO (3000ft)",'Aircraft Calc'!E$211,'Aircraft Calc'!I$211)</f>
        <v>4</v>
      </c>
      <c r="J458" s="189">
        <v>1</v>
      </c>
      <c r="K458" s="187">
        <f t="shared" si="109"/>
        <v>407.346</v>
      </c>
      <c r="L458" s="187">
        <f t="shared" si="110"/>
        <v>10.223706</v>
      </c>
      <c r="M458" s="187">
        <f t="shared" si="111"/>
        <v>3.03783E-2</v>
      </c>
      <c r="N458" s="187">
        <f t="shared" si="112"/>
        <v>0.36685319999999999</v>
      </c>
      <c r="O458" s="187">
        <f t="shared" si="113"/>
        <v>4.5040013830987845E-2</v>
      </c>
      <c r="P458" s="188">
        <f t="shared" si="114"/>
        <v>3.4933163719810835E+17</v>
      </c>
      <c r="Q458" s="187">
        <f t="shared" si="115"/>
        <v>9540.0000000000018</v>
      </c>
      <c r="R458" s="219">
        <f t="shared" si="116"/>
        <v>42.930000000000007</v>
      </c>
      <c r="S458" s="219">
        <f t="shared" si="117"/>
        <v>21.2742</v>
      </c>
      <c r="T458" s="219">
        <f t="shared" si="118"/>
        <v>220.37400000000002</v>
      </c>
      <c r="U458" s="219">
        <f t="shared" si="119"/>
        <v>1.0502785209429413</v>
      </c>
      <c r="V458" s="188">
        <f t="shared" si="120"/>
        <v>2.2803671954181164E+16</v>
      </c>
      <c r="W458" s="323">
        <v>1.917</v>
      </c>
      <c r="X458" s="323">
        <v>1.536</v>
      </c>
      <c r="Y458" s="323">
        <v>0.51700000000000002</v>
      </c>
      <c r="Z458" s="323">
        <v>0.159</v>
      </c>
      <c r="AA458" s="323">
        <v>37</v>
      </c>
      <c r="AB458" s="323">
        <v>29</v>
      </c>
      <c r="AC458" s="323">
        <v>11</v>
      </c>
      <c r="AD458" s="323">
        <v>4.5</v>
      </c>
      <c r="AE458" s="323">
        <v>0.03</v>
      </c>
      <c r="AF458" s="323">
        <v>0.04</v>
      </c>
      <c r="AG458" s="323">
        <v>0.16</v>
      </c>
      <c r="AH458" s="323">
        <v>2.23</v>
      </c>
      <c r="AI458" s="323">
        <v>0.2</v>
      </c>
      <c r="AJ458" s="323">
        <v>0.2</v>
      </c>
      <c r="AK458" s="323">
        <v>2.5</v>
      </c>
      <c r="AL458" s="323">
        <v>23.1</v>
      </c>
      <c r="AM458" s="323">
        <v>6.3239730743070335E-2</v>
      </c>
      <c r="AN458" s="323">
        <v>6.5989046784077701E-2</v>
      </c>
      <c r="AO458" s="323">
        <v>3.7188905515594395E-2</v>
      </c>
      <c r="AP458" s="323">
        <v>4.7372988149155248E-2</v>
      </c>
      <c r="AQ458" s="323">
        <v>0.11564973074307033</v>
      </c>
      <c r="AR458" s="323">
        <v>0.11798904678407771</v>
      </c>
      <c r="AS458" s="323">
        <v>9.5148905515594392E-2</v>
      </c>
      <c r="AT458" s="323">
        <v>0.11009208814915525</v>
      </c>
      <c r="AU458" s="190">
        <v>398864748844412.44</v>
      </c>
      <c r="AV458" s="190">
        <v>416205196681636.69</v>
      </c>
      <c r="AW458" s="190">
        <v>1876458774758656.8</v>
      </c>
      <c r="AX458" s="190">
        <v>2390322007775803</v>
      </c>
      <c r="AY458" s="203">
        <v>11.3</v>
      </c>
      <c r="AZ458" s="239">
        <v>190.8</v>
      </c>
      <c r="BA458" s="203">
        <v>1983</v>
      </c>
      <c r="BB458" s="204">
        <v>35684</v>
      </c>
      <c r="BC458" s="203" t="s">
        <v>3132</v>
      </c>
    </row>
    <row r="459" spans="1:55" x14ac:dyDescent="0.2">
      <c r="A459" s="184" t="s">
        <v>1922</v>
      </c>
      <c r="B459" s="184" t="s">
        <v>1921</v>
      </c>
      <c r="C459" s="184" t="s">
        <v>723</v>
      </c>
      <c r="D459" s="185" t="s">
        <v>1043</v>
      </c>
      <c r="E459" s="184" t="s">
        <v>1923</v>
      </c>
      <c r="F459" s="184" t="s">
        <v>1924</v>
      </c>
      <c r="G459" s="186">
        <f>IF(ALECA_Input!$F$13="ICAO (3000ft)",'Aircraft Calc'!C$211,'Aircraft Calc'!G$211)</f>
        <v>0.7</v>
      </c>
      <c r="H459" s="186">
        <f>IF(ALECA_Input!$F$13="ICAO (3000ft)",'Aircraft Calc'!D$211,'Aircraft Calc'!H$211)</f>
        <v>2.2000000000000002</v>
      </c>
      <c r="I459" s="186">
        <f>IF(ALECA_Input!$F$13="ICAO (3000ft)",'Aircraft Calc'!E$211,'Aircraft Calc'!I$211)</f>
        <v>4</v>
      </c>
      <c r="J459" s="189">
        <v>1</v>
      </c>
      <c r="K459" s="187">
        <f t="shared" si="109"/>
        <v>662.49599999999998</v>
      </c>
      <c r="L459" s="187">
        <f t="shared" si="110"/>
        <v>18.461101559999999</v>
      </c>
      <c r="M459" s="187">
        <f t="shared" si="111"/>
        <v>1.7421120000000002E-2</v>
      </c>
      <c r="N459" s="187">
        <f t="shared" si="112"/>
        <v>0.35270699999999999</v>
      </c>
      <c r="O459" s="187">
        <f t="shared" si="113"/>
        <v>4.2992105586850328E-2</v>
      </c>
      <c r="P459" s="188">
        <f t="shared" si="114"/>
        <v>1.0322667182652614E+17</v>
      </c>
      <c r="Q459" s="187">
        <f t="shared" si="115"/>
        <v>18300</v>
      </c>
      <c r="R459" s="219">
        <f t="shared" si="116"/>
        <v>69.540000000000006</v>
      </c>
      <c r="S459" s="219">
        <f t="shared" si="117"/>
        <v>57.096000000000004</v>
      </c>
      <c r="T459" s="219">
        <f t="shared" si="118"/>
        <v>482.02199999999999</v>
      </c>
      <c r="U459" s="219">
        <f t="shared" si="119"/>
        <v>1.3305305582951648</v>
      </c>
      <c r="V459" s="188">
        <f t="shared" si="120"/>
        <v>4151654182816754</v>
      </c>
      <c r="W459" s="323">
        <v>3.0419999999999998</v>
      </c>
      <c r="X459" s="323">
        <v>2.4710000000000001</v>
      </c>
      <c r="Y459" s="323">
        <v>0.86899999999999999</v>
      </c>
      <c r="Z459" s="323">
        <v>0.30499999999999999</v>
      </c>
      <c r="AA459" s="323">
        <v>42.46</v>
      </c>
      <c r="AB459" s="323">
        <v>32.71</v>
      </c>
      <c r="AC459" s="323">
        <v>11.35</v>
      </c>
      <c r="AD459" s="323">
        <v>3.8</v>
      </c>
      <c r="AE459" s="323">
        <v>0.02</v>
      </c>
      <c r="AF459" s="323">
        <v>0.02</v>
      </c>
      <c r="AG459" s="323">
        <v>0.04</v>
      </c>
      <c r="AH459" s="323">
        <v>3.12</v>
      </c>
      <c r="AI459" s="323">
        <v>0.3</v>
      </c>
      <c r="AJ459" s="323">
        <v>0.35</v>
      </c>
      <c r="AK459" s="323">
        <v>0.96</v>
      </c>
      <c r="AL459" s="323">
        <v>26.34</v>
      </c>
      <c r="AM459" s="323">
        <v>3.0944073692432041E-2</v>
      </c>
      <c r="AN459" s="323">
        <v>1.3287439176064307E-2</v>
      </c>
      <c r="AO459" s="323">
        <v>4.8421247826773602E-3</v>
      </c>
      <c r="AP459" s="323">
        <v>4.4961878849816613E-3</v>
      </c>
      <c r="AQ459" s="323">
        <v>8.2204073692432045E-2</v>
      </c>
      <c r="AR459" s="323">
        <v>6.3767439176064311E-2</v>
      </c>
      <c r="AS459" s="323">
        <v>5.6052124782677362E-2</v>
      </c>
      <c r="AT459" s="323">
        <v>7.2706587884981674E-2</v>
      </c>
      <c r="AU459" s="190">
        <v>195170030557211.97</v>
      </c>
      <c r="AV459" s="190">
        <v>83806351283793.938</v>
      </c>
      <c r="AW459" s="190">
        <v>244321455847127.34</v>
      </c>
      <c r="AX459" s="190">
        <v>226866348787800.75</v>
      </c>
      <c r="AY459" s="203">
        <v>20.3</v>
      </c>
      <c r="AZ459" s="239">
        <v>344.5</v>
      </c>
      <c r="BA459" s="203">
        <v>2010</v>
      </c>
      <c r="BB459" s="204">
        <v>41626</v>
      </c>
      <c r="BC459" s="203" t="s">
        <v>1925</v>
      </c>
    </row>
    <row r="460" spans="1:55" x14ac:dyDescent="0.2">
      <c r="A460" s="184" t="s">
        <v>1927</v>
      </c>
      <c r="B460" s="184" t="s">
        <v>1926</v>
      </c>
      <c r="C460" s="184" t="s">
        <v>723</v>
      </c>
      <c r="D460" s="185" t="s">
        <v>1043</v>
      </c>
      <c r="E460" s="184" t="s">
        <v>1928</v>
      </c>
      <c r="F460" s="184" t="s">
        <v>1928</v>
      </c>
      <c r="G460" s="186">
        <f>IF(ALECA_Input!$F$13="ICAO (3000ft)",'Aircraft Calc'!C$211,'Aircraft Calc'!G$211)</f>
        <v>0.7</v>
      </c>
      <c r="H460" s="186">
        <f>IF(ALECA_Input!$F$13="ICAO (3000ft)",'Aircraft Calc'!D$211,'Aircraft Calc'!H$211)</f>
        <v>2.2000000000000002</v>
      </c>
      <c r="I460" s="186">
        <f>IF(ALECA_Input!$F$13="ICAO (3000ft)",'Aircraft Calc'!E$211,'Aircraft Calc'!I$211)</f>
        <v>4</v>
      </c>
      <c r="J460" s="189">
        <v>1</v>
      </c>
      <c r="K460" s="187">
        <f t="shared" si="109"/>
        <v>685.48800000000006</v>
      </c>
      <c r="L460" s="187">
        <f t="shared" si="110"/>
        <v>19.957363919999999</v>
      </c>
      <c r="M460" s="187">
        <f t="shared" si="111"/>
        <v>1.7991360000000001E-2</v>
      </c>
      <c r="N460" s="187">
        <f t="shared" si="112"/>
        <v>0.33772631999999997</v>
      </c>
      <c r="O460" s="187">
        <f t="shared" si="113"/>
        <v>4.6007788932824437E-2</v>
      </c>
      <c r="P460" s="188">
        <f t="shared" si="114"/>
        <v>1.1650083972635256E+17</v>
      </c>
      <c r="Q460" s="187">
        <f t="shared" si="115"/>
        <v>18600</v>
      </c>
      <c r="R460" s="219">
        <f t="shared" si="116"/>
        <v>70.866</v>
      </c>
      <c r="S460" s="219">
        <f t="shared" si="117"/>
        <v>52.451999999999998</v>
      </c>
      <c r="T460" s="219">
        <f t="shared" si="118"/>
        <v>461.28000000000003</v>
      </c>
      <c r="U460" s="219">
        <f t="shared" si="119"/>
        <v>1.3187582878718946</v>
      </c>
      <c r="V460" s="188">
        <f t="shared" si="120"/>
        <v>4262318029952945.5</v>
      </c>
      <c r="W460" s="323">
        <v>3.1720000000000002</v>
      </c>
      <c r="X460" s="323">
        <v>2.5619999999999998</v>
      </c>
      <c r="Y460" s="323">
        <v>0.89200000000000002</v>
      </c>
      <c r="Z460" s="323">
        <v>0.31</v>
      </c>
      <c r="AA460" s="323">
        <v>44.68</v>
      </c>
      <c r="AB460" s="323">
        <v>34.049999999999997</v>
      </c>
      <c r="AC460" s="323">
        <v>11.63</v>
      </c>
      <c r="AD460" s="323">
        <v>3.81</v>
      </c>
      <c r="AE460" s="323">
        <v>0.02</v>
      </c>
      <c r="AF460" s="323">
        <v>0.02</v>
      </c>
      <c r="AG460" s="323">
        <v>0.04</v>
      </c>
      <c r="AH460" s="323">
        <v>2.82</v>
      </c>
      <c r="AI460" s="323">
        <v>0.28999999999999998</v>
      </c>
      <c r="AJ460" s="323">
        <v>0.34</v>
      </c>
      <c r="AK460" s="323">
        <v>0.86</v>
      </c>
      <c r="AL460" s="323">
        <v>24.8</v>
      </c>
      <c r="AM460" s="323">
        <v>3.6539682347277315E-2</v>
      </c>
      <c r="AN460" s="323">
        <v>1.5463444385908116E-2</v>
      </c>
      <c r="AO460" s="323">
        <v>4.8893378904466458E-3</v>
      </c>
      <c r="AP460" s="323">
        <v>4.5415832189190618E-3</v>
      </c>
      <c r="AQ460" s="323">
        <v>8.7799682347277308E-2</v>
      </c>
      <c r="AR460" s="323">
        <v>6.5943444385908115E-2</v>
      </c>
      <c r="AS460" s="323">
        <v>5.6099337890446646E-2</v>
      </c>
      <c r="AT460" s="323">
        <v>7.0900983218919064E-2</v>
      </c>
      <c r="AU460" s="190">
        <v>230462575520981.41</v>
      </c>
      <c r="AV460" s="190">
        <v>97530821032640.703</v>
      </c>
      <c r="AW460" s="190">
        <v>246703710692464.28</v>
      </c>
      <c r="AX460" s="190">
        <v>229156883330803.5</v>
      </c>
      <c r="AY460" s="203">
        <v>21.8</v>
      </c>
      <c r="AZ460" s="239">
        <v>355.7</v>
      </c>
      <c r="BA460" s="203">
        <v>2010</v>
      </c>
      <c r="BB460" s="204">
        <v>41626</v>
      </c>
      <c r="BC460" s="203" t="s">
        <v>1929</v>
      </c>
    </row>
    <row r="461" spans="1:55" x14ac:dyDescent="0.2">
      <c r="A461" s="184" t="s">
        <v>1931</v>
      </c>
      <c r="B461" s="184" t="s">
        <v>1930</v>
      </c>
      <c r="C461" s="184" t="s">
        <v>723</v>
      </c>
      <c r="D461" s="185" t="s">
        <v>1043</v>
      </c>
      <c r="E461" s="184" t="s">
        <v>1932</v>
      </c>
      <c r="F461" s="184" t="s">
        <v>1933</v>
      </c>
      <c r="G461" s="186">
        <f>IF(ALECA_Input!$F$13="ICAO (3000ft)",'Aircraft Calc'!C$211,'Aircraft Calc'!G$211)</f>
        <v>0.7</v>
      </c>
      <c r="H461" s="186">
        <f>IF(ALECA_Input!$F$13="ICAO (3000ft)",'Aircraft Calc'!D$211,'Aircraft Calc'!H$211)</f>
        <v>2.2000000000000002</v>
      </c>
      <c r="I461" s="186">
        <f>IF(ALECA_Input!$F$13="ICAO (3000ft)",'Aircraft Calc'!E$211,'Aircraft Calc'!I$211)</f>
        <v>4</v>
      </c>
      <c r="J461" s="189">
        <v>1</v>
      </c>
      <c r="K461" s="187">
        <f t="shared" si="109"/>
        <v>749.14200000000005</v>
      </c>
      <c r="L461" s="187">
        <f t="shared" si="110"/>
        <v>24.495067500000001</v>
      </c>
      <c r="M461" s="187">
        <f t="shared" si="111"/>
        <v>1.9562039999999999E-2</v>
      </c>
      <c r="N461" s="187">
        <f t="shared" si="112"/>
        <v>0.31159608000000005</v>
      </c>
      <c r="O461" s="187">
        <f t="shared" si="113"/>
        <v>5.5919964840177694E-2</v>
      </c>
      <c r="P461" s="188">
        <f t="shared" si="114"/>
        <v>1.6278311452162214E+17</v>
      </c>
      <c r="Q461" s="187">
        <f t="shared" si="115"/>
        <v>19320</v>
      </c>
      <c r="R461" s="219">
        <f t="shared" si="116"/>
        <v>77.086800000000011</v>
      </c>
      <c r="S461" s="219">
        <f t="shared" si="117"/>
        <v>41.731200000000001</v>
      </c>
      <c r="T461" s="219">
        <f t="shared" si="118"/>
        <v>408.03840000000002</v>
      </c>
      <c r="U461" s="219">
        <f t="shared" si="119"/>
        <v>1.2929099697240583</v>
      </c>
      <c r="V461" s="188">
        <f t="shared" si="120"/>
        <v>4517018241501361</v>
      </c>
      <c r="W461" s="323">
        <v>3.5569999999999999</v>
      </c>
      <c r="X461" s="323">
        <v>2.8090000000000002</v>
      </c>
      <c r="Y461" s="323">
        <v>0.95399999999999996</v>
      </c>
      <c r="Z461" s="323">
        <v>0.32200000000000001</v>
      </c>
      <c r="AA461" s="323">
        <v>51.39</v>
      </c>
      <c r="AB461" s="323">
        <v>37.78</v>
      </c>
      <c r="AC461" s="323">
        <v>12.27</v>
      </c>
      <c r="AD461" s="323">
        <v>3.99</v>
      </c>
      <c r="AE461" s="323">
        <v>0.02</v>
      </c>
      <c r="AF461" s="323">
        <v>0.02</v>
      </c>
      <c r="AG461" s="323">
        <v>0.04</v>
      </c>
      <c r="AH461" s="323">
        <v>2.16</v>
      </c>
      <c r="AI461" s="323">
        <v>0.28000000000000003</v>
      </c>
      <c r="AJ461" s="323">
        <v>0.32</v>
      </c>
      <c r="AK461" s="323">
        <v>0.66</v>
      </c>
      <c r="AL461" s="323">
        <v>21.12</v>
      </c>
      <c r="AM461" s="323">
        <v>4.95578207980861E-2</v>
      </c>
      <c r="AN461" s="323">
        <v>2.5013226818778597E-2</v>
      </c>
      <c r="AO461" s="323">
        <v>4.9849892303770651E-3</v>
      </c>
      <c r="AP461" s="323">
        <v>4.6336058863384174E-3</v>
      </c>
      <c r="AQ461" s="323">
        <v>0.1008178207980861</v>
      </c>
      <c r="AR461" s="323">
        <v>7.5493226818778583E-2</v>
      </c>
      <c r="AS461" s="323">
        <v>5.6194989230377072E-2</v>
      </c>
      <c r="AT461" s="323">
        <v>6.6920805886338419E-2</v>
      </c>
      <c r="AU461" s="190">
        <v>312570397021670.06</v>
      </c>
      <c r="AV461" s="190">
        <v>157763075769478.81</v>
      </c>
      <c r="AW461" s="190">
        <v>251530037083129.22</v>
      </c>
      <c r="AX461" s="190">
        <v>233800116019739.16</v>
      </c>
      <c r="AY461" s="203">
        <v>26.5</v>
      </c>
      <c r="AZ461" s="239">
        <v>385.9</v>
      </c>
      <c r="BA461" s="203">
        <v>2010</v>
      </c>
      <c r="BB461" s="204">
        <v>41626</v>
      </c>
      <c r="BC461" s="203" t="s">
        <v>1925</v>
      </c>
    </row>
    <row r="462" spans="1:55" x14ac:dyDescent="0.2">
      <c r="A462" s="184" t="s">
        <v>1935</v>
      </c>
      <c r="B462" s="184" t="s">
        <v>1934</v>
      </c>
      <c r="C462" s="184" t="s">
        <v>723</v>
      </c>
      <c r="D462" s="185" t="s">
        <v>1043</v>
      </c>
      <c r="E462" s="184" t="s">
        <v>1936</v>
      </c>
      <c r="F462" s="184" t="s">
        <v>1937</v>
      </c>
      <c r="G462" s="186">
        <f>IF(ALECA_Input!$F$13="ICAO (3000ft)",'Aircraft Calc'!C$211,'Aircraft Calc'!G$211)</f>
        <v>0.7</v>
      </c>
      <c r="H462" s="186">
        <f>IF(ALECA_Input!$F$13="ICAO (3000ft)",'Aircraft Calc'!D$211,'Aircraft Calc'!H$211)</f>
        <v>2.2000000000000002</v>
      </c>
      <c r="I462" s="186">
        <f>IF(ALECA_Input!$F$13="ICAO (3000ft)",'Aircraft Calc'!E$211,'Aircraft Calc'!I$211)</f>
        <v>4</v>
      </c>
      <c r="J462" s="189">
        <v>1</v>
      </c>
      <c r="K462" s="187">
        <f t="shared" si="109"/>
        <v>795.32400000000007</v>
      </c>
      <c r="L462" s="187">
        <f t="shared" si="110"/>
        <v>28.759560480000005</v>
      </c>
      <c r="M462" s="187">
        <f t="shared" si="111"/>
        <v>2.0605680000000001E-2</v>
      </c>
      <c r="N462" s="187">
        <f t="shared" si="112"/>
        <v>0.29634516</v>
      </c>
      <c r="O462" s="187">
        <f t="shared" si="113"/>
        <v>6.6045096101346581E-2</v>
      </c>
      <c r="P462" s="188">
        <f t="shared" si="114"/>
        <v>2.1416652208816819E+17</v>
      </c>
      <c r="Q462" s="187">
        <f t="shared" si="115"/>
        <v>20280</v>
      </c>
      <c r="R462" s="219">
        <f t="shared" si="116"/>
        <v>90.854400000000012</v>
      </c>
      <c r="S462" s="219">
        <f t="shared" si="117"/>
        <v>13.9932</v>
      </c>
      <c r="T462" s="219">
        <f t="shared" si="118"/>
        <v>242.14320000000001</v>
      </c>
      <c r="U462" s="219">
        <f t="shared" si="119"/>
        <v>1.1741621000544047</v>
      </c>
      <c r="V462" s="188">
        <f t="shared" si="120"/>
        <v>4789185446908829</v>
      </c>
      <c r="W462" s="323">
        <v>3.9260000000000002</v>
      </c>
      <c r="X462" s="323">
        <v>2.996</v>
      </c>
      <c r="Y462" s="323">
        <v>0.97899999999999998</v>
      </c>
      <c r="Z462" s="323">
        <v>0.33800000000000002</v>
      </c>
      <c r="AA462" s="323">
        <v>57.52</v>
      </c>
      <c r="AB462" s="323">
        <v>41.17</v>
      </c>
      <c r="AC462" s="323">
        <v>12.74</v>
      </c>
      <c r="AD462" s="323">
        <v>4.4800000000000004</v>
      </c>
      <c r="AE462" s="323">
        <v>0.02</v>
      </c>
      <c r="AF462" s="323">
        <v>0.02</v>
      </c>
      <c r="AG462" s="323">
        <v>0.04</v>
      </c>
      <c r="AH462" s="323">
        <v>0.69</v>
      </c>
      <c r="AI462" s="323">
        <v>0.27</v>
      </c>
      <c r="AJ462" s="323">
        <v>0.31</v>
      </c>
      <c r="AK462" s="323">
        <v>0.55000000000000004</v>
      </c>
      <c r="AL462" s="323">
        <v>11.94</v>
      </c>
      <c r="AM462" s="323">
        <v>6.2348389888042151E-2</v>
      </c>
      <c r="AN462" s="323">
        <v>3.5709525729219906E-2</v>
      </c>
      <c r="AO462" s="323">
        <v>5.0822938233804947E-3</v>
      </c>
      <c r="AP462" s="323">
        <v>4.6802394504144255E-3</v>
      </c>
      <c r="AQ462" s="323">
        <v>0.11360838988804217</v>
      </c>
      <c r="AR462" s="323">
        <v>8.618952572921991E-2</v>
      </c>
      <c r="AS462" s="323">
        <v>5.6292293823380503E-2</v>
      </c>
      <c r="AT462" s="323">
        <v>5.7897539450414433E-2</v>
      </c>
      <c r="AU462" s="190">
        <v>393242896219517.44</v>
      </c>
      <c r="AV462" s="190">
        <v>225226623263242.25</v>
      </c>
      <c r="AW462" s="190">
        <v>256439782471818.91</v>
      </c>
      <c r="AX462" s="190">
        <v>236153128545800.25</v>
      </c>
      <c r="AY462" s="203">
        <v>31.1</v>
      </c>
      <c r="AZ462" s="239">
        <v>408.3</v>
      </c>
      <c r="BA462" s="203">
        <v>2010</v>
      </c>
      <c r="BB462" s="204">
        <v>41626</v>
      </c>
      <c r="BC462" s="203" t="s">
        <v>1938</v>
      </c>
    </row>
    <row r="463" spans="1:55" x14ac:dyDescent="0.2">
      <c r="A463" s="184" t="s">
        <v>1940</v>
      </c>
      <c r="B463" s="184" t="s">
        <v>1939</v>
      </c>
      <c r="C463" s="184" t="s">
        <v>723</v>
      </c>
      <c r="D463" s="185" t="s">
        <v>1043</v>
      </c>
      <c r="E463" s="184" t="s">
        <v>1941</v>
      </c>
      <c r="F463" s="184" t="s">
        <v>1941</v>
      </c>
      <c r="G463" s="186">
        <f>IF(ALECA_Input!$F$13="ICAO (3000ft)",'Aircraft Calc'!C$211,'Aircraft Calc'!G$211)</f>
        <v>0.7</v>
      </c>
      <c r="H463" s="186">
        <f>IF(ALECA_Input!$F$13="ICAO (3000ft)",'Aircraft Calc'!D$211,'Aircraft Calc'!H$211)</f>
        <v>2.2000000000000002</v>
      </c>
      <c r="I463" s="186">
        <f>IF(ALECA_Input!$F$13="ICAO (3000ft)",'Aircraft Calc'!E$211,'Aircraft Calc'!I$211)</f>
        <v>4</v>
      </c>
      <c r="J463" s="189">
        <v>1</v>
      </c>
      <c r="K463" s="187">
        <f t="shared" si="109"/>
        <v>511.04400000000004</v>
      </c>
      <c r="L463" s="187">
        <f t="shared" si="110"/>
        <v>10.4299044</v>
      </c>
      <c r="M463" s="187">
        <f t="shared" si="111"/>
        <v>2.8979040000000001E-2</v>
      </c>
      <c r="N463" s="187">
        <f t="shared" si="112"/>
        <v>0.50433336000000006</v>
      </c>
      <c r="O463" s="187">
        <f t="shared" si="113"/>
        <v>4.9072092464836375E-2</v>
      </c>
      <c r="P463" s="188">
        <f t="shared" si="114"/>
        <v>2.8636059377030893E+17</v>
      </c>
      <c r="Q463" s="187">
        <f t="shared" si="115"/>
        <v>12479.999999999998</v>
      </c>
      <c r="R463" s="219">
        <f t="shared" si="116"/>
        <v>59.903999999999989</v>
      </c>
      <c r="S463" s="219">
        <f t="shared" si="117"/>
        <v>23.961599999999997</v>
      </c>
      <c r="T463" s="219">
        <f t="shared" si="118"/>
        <v>272.81279999999998</v>
      </c>
      <c r="U463" s="219">
        <f t="shared" si="119"/>
        <v>1.0950690793056728</v>
      </c>
      <c r="V463" s="188">
        <f t="shared" si="120"/>
        <v>1.6964070402764042E+16</v>
      </c>
      <c r="W463" s="323">
        <v>2.3420000000000001</v>
      </c>
      <c r="X463" s="323">
        <v>1.93</v>
      </c>
      <c r="Y463" s="323">
        <v>0.65800000000000003</v>
      </c>
      <c r="Z463" s="323">
        <v>0.20799999999999999</v>
      </c>
      <c r="AA463" s="323">
        <v>28.1</v>
      </c>
      <c r="AB463" s="323">
        <v>22.900000000000002</v>
      </c>
      <c r="AC463" s="323">
        <v>11.6</v>
      </c>
      <c r="AD463" s="323">
        <v>4.8</v>
      </c>
      <c r="AE463" s="323">
        <v>0.06</v>
      </c>
      <c r="AF463" s="323">
        <v>0.01</v>
      </c>
      <c r="AG463" s="323">
        <v>0.13</v>
      </c>
      <c r="AH463" s="323">
        <v>1.92</v>
      </c>
      <c r="AI463" s="323">
        <v>0.44</v>
      </c>
      <c r="AJ463" s="323">
        <v>0.57000000000000006</v>
      </c>
      <c r="AK463" s="323">
        <v>2</v>
      </c>
      <c r="AL463" s="323">
        <v>21.86</v>
      </c>
      <c r="AM463" s="323">
        <v>5.0732736852412461E-2</v>
      </c>
      <c r="AN463" s="323">
        <v>5.3753601781559641E-2</v>
      </c>
      <c r="AO463" s="323">
        <v>2.1148154174363831E-2</v>
      </c>
      <c r="AP463" s="323">
        <v>2.6939519816159694E-2</v>
      </c>
      <c r="AQ463" s="323">
        <v>0.10659273685241247</v>
      </c>
      <c r="AR463" s="323">
        <v>0.10347360178155965</v>
      </c>
      <c r="AS463" s="323">
        <v>7.7420654174363834E-2</v>
      </c>
      <c r="AT463" s="323">
        <v>8.7745919816159687E-2</v>
      </c>
      <c r="AU463" s="190">
        <v>319980811193515.69</v>
      </c>
      <c r="AV463" s="190">
        <v>339033968395473.19</v>
      </c>
      <c r="AW463" s="190">
        <v>1067082747401464</v>
      </c>
      <c r="AX463" s="190">
        <v>1359300513041990.8</v>
      </c>
      <c r="AY463" s="203">
        <v>12</v>
      </c>
      <c r="AZ463" s="239">
        <v>249.1</v>
      </c>
      <c r="BA463" s="203">
        <v>1987</v>
      </c>
      <c r="BB463" s="204">
        <v>39296</v>
      </c>
      <c r="BC463" s="203" t="s">
        <v>3133</v>
      </c>
    </row>
    <row r="464" spans="1:55" x14ac:dyDescent="0.2">
      <c r="A464" s="184" t="s">
        <v>1943</v>
      </c>
      <c r="B464" s="184" t="s">
        <v>1942</v>
      </c>
      <c r="C464" s="184" t="s">
        <v>723</v>
      </c>
      <c r="D464" s="185" t="s">
        <v>1043</v>
      </c>
      <c r="E464" s="184" t="s">
        <v>1944</v>
      </c>
      <c r="F464" s="184" t="s">
        <v>1944</v>
      </c>
      <c r="G464" s="186">
        <f>IF(ALECA_Input!$F$13="ICAO (3000ft)",'Aircraft Calc'!C$211,'Aircraft Calc'!G$211)</f>
        <v>0.7</v>
      </c>
      <c r="H464" s="186">
        <f>IF(ALECA_Input!$F$13="ICAO (3000ft)",'Aircraft Calc'!D$211,'Aircraft Calc'!H$211)</f>
        <v>2.2000000000000002</v>
      </c>
      <c r="I464" s="186">
        <f>IF(ALECA_Input!$F$13="ICAO (3000ft)",'Aircraft Calc'!E$211,'Aircraft Calc'!I$211)</f>
        <v>4</v>
      </c>
      <c r="J464" s="189">
        <v>1</v>
      </c>
      <c r="K464" s="187">
        <f t="shared" si="109"/>
        <v>555.11400000000003</v>
      </c>
      <c r="L464" s="187">
        <f t="shared" si="110"/>
        <v>12.469081199999998</v>
      </c>
      <c r="M464" s="187">
        <f t="shared" si="111"/>
        <v>4.2994800000000007E-2</v>
      </c>
      <c r="N464" s="187">
        <f t="shared" si="112"/>
        <v>0.48181817999999998</v>
      </c>
      <c r="O464" s="187">
        <f t="shared" si="113"/>
        <v>5.5630000166596076E-2</v>
      </c>
      <c r="P464" s="188">
        <f t="shared" si="114"/>
        <v>3.3488597054422733E+17</v>
      </c>
      <c r="Q464" s="187">
        <f t="shared" si="115"/>
        <v>12780</v>
      </c>
      <c r="R464" s="219">
        <f t="shared" si="116"/>
        <v>62.622</v>
      </c>
      <c r="S464" s="219">
        <f t="shared" si="117"/>
        <v>21.2148</v>
      </c>
      <c r="T464" s="219">
        <f t="shared" si="118"/>
        <v>259.68959999999998</v>
      </c>
      <c r="U464" s="219">
        <f t="shared" si="119"/>
        <v>1.140895563777228</v>
      </c>
      <c r="V464" s="188">
        <f t="shared" si="120"/>
        <v>1.9390381331440544E+16</v>
      </c>
      <c r="W464" s="323">
        <v>2.6469999999999998</v>
      </c>
      <c r="X464" s="323">
        <v>2.085</v>
      </c>
      <c r="Y464" s="323">
        <v>0.70299999999999996</v>
      </c>
      <c r="Z464" s="323">
        <v>0.21299999999999999</v>
      </c>
      <c r="AA464" s="323">
        <v>32.799999999999997</v>
      </c>
      <c r="AB464" s="323">
        <v>24.7</v>
      </c>
      <c r="AC464" s="323">
        <v>12</v>
      </c>
      <c r="AD464" s="323">
        <v>4.9000000000000004</v>
      </c>
      <c r="AE464" s="323">
        <v>0.1</v>
      </c>
      <c r="AF464" s="323">
        <v>0.03</v>
      </c>
      <c r="AG464" s="323">
        <v>0.14000000000000001</v>
      </c>
      <c r="AH464" s="323">
        <v>1.6600000000000001</v>
      </c>
      <c r="AI464" s="323">
        <v>0.37</v>
      </c>
      <c r="AJ464" s="323">
        <v>0.51</v>
      </c>
      <c r="AK464" s="323">
        <v>1.78</v>
      </c>
      <c r="AL464" s="323">
        <v>20.32</v>
      </c>
      <c r="AM464" s="323">
        <v>5.2763953879490864E-2</v>
      </c>
      <c r="AN464" s="323">
        <v>5.583988433592485E-2</v>
      </c>
      <c r="AO464" s="323">
        <v>2.3605460828972958E-2</v>
      </c>
      <c r="AP464" s="323">
        <v>3.0069753347200946E-2</v>
      </c>
      <c r="AQ464" s="323">
        <v>0.11322395387949087</v>
      </c>
      <c r="AR464" s="323">
        <v>0.10707988433592486</v>
      </c>
      <c r="AS464" s="323">
        <v>8.0440460828972965E-2</v>
      </c>
      <c r="AT464" s="323">
        <v>8.927195334720095E-2</v>
      </c>
      <c r="AU464" s="190">
        <v>332792074932852.56</v>
      </c>
      <c r="AV464" s="190">
        <v>352192540661477.69</v>
      </c>
      <c r="AW464" s="190">
        <v>1191072269824505</v>
      </c>
      <c r="AX464" s="190">
        <v>1517244235636975.3</v>
      </c>
      <c r="AY464" s="203">
        <v>14.1</v>
      </c>
      <c r="AZ464" s="239">
        <v>266.89999999999998</v>
      </c>
      <c r="BA464" s="203">
        <v>1987</v>
      </c>
      <c r="BB464" s="204">
        <v>39296</v>
      </c>
      <c r="BC464" s="203" t="s">
        <v>3133</v>
      </c>
    </row>
    <row r="465" spans="1:55" x14ac:dyDescent="0.2">
      <c r="A465" s="184" t="s">
        <v>1946</v>
      </c>
      <c r="B465" s="184" t="s">
        <v>1945</v>
      </c>
      <c r="C465" s="184" t="s">
        <v>723</v>
      </c>
      <c r="D465" s="185" t="s">
        <v>1043</v>
      </c>
      <c r="E465" s="184" t="s">
        <v>1947</v>
      </c>
      <c r="F465" s="184" t="s">
        <v>1947</v>
      </c>
      <c r="G465" s="186">
        <f>IF(ALECA_Input!$F$13="ICAO (3000ft)",'Aircraft Calc'!C$211,'Aircraft Calc'!G$211)</f>
        <v>0.7</v>
      </c>
      <c r="H465" s="186">
        <f>IF(ALECA_Input!$F$13="ICAO (3000ft)",'Aircraft Calc'!D$211,'Aircraft Calc'!H$211)</f>
        <v>2.2000000000000002</v>
      </c>
      <c r="I465" s="186">
        <f>IF(ALECA_Input!$F$13="ICAO (3000ft)",'Aircraft Calc'!E$211,'Aircraft Calc'!I$211)</f>
        <v>4</v>
      </c>
      <c r="J465" s="189">
        <v>1</v>
      </c>
      <c r="K465" s="187">
        <f t="shared" si="109"/>
        <v>543.60599999999999</v>
      </c>
      <c r="L465" s="187">
        <f t="shared" si="110"/>
        <v>12.13832532</v>
      </c>
      <c r="M465" s="187">
        <f t="shared" si="111"/>
        <v>4.1454239999999996E-2</v>
      </c>
      <c r="N465" s="187">
        <f t="shared" si="112"/>
        <v>0.53498219999999996</v>
      </c>
      <c r="O465" s="187">
        <f t="shared" si="113"/>
        <v>4.8398306454927903E-2</v>
      </c>
      <c r="P465" s="188">
        <f t="shared" si="114"/>
        <v>1.4540046544303821E+17</v>
      </c>
      <c r="Q465" s="187">
        <f t="shared" si="115"/>
        <v>12360</v>
      </c>
      <c r="R465" s="219">
        <f t="shared" si="116"/>
        <v>45.979199999999999</v>
      </c>
      <c r="S465" s="219">
        <f t="shared" si="117"/>
        <v>143.74680000000001</v>
      </c>
      <c r="T465" s="219">
        <f t="shared" si="118"/>
        <v>549.52559999999994</v>
      </c>
      <c r="U465" s="219">
        <f t="shared" si="119"/>
        <v>1.5360437875021513</v>
      </c>
      <c r="V465" s="188">
        <f t="shared" si="120"/>
        <v>2219142119557065.3</v>
      </c>
      <c r="W465" s="323">
        <v>2.5670000000000002</v>
      </c>
      <c r="X465" s="323">
        <v>2.036</v>
      </c>
      <c r="Y465" s="323">
        <v>0.69599999999999995</v>
      </c>
      <c r="Z465" s="323">
        <v>0.20599999999999999</v>
      </c>
      <c r="AA465" s="323">
        <v>31.74</v>
      </c>
      <c r="AB465" s="323">
        <v>25.03</v>
      </c>
      <c r="AC465" s="323">
        <v>11.91</v>
      </c>
      <c r="AD465" s="323">
        <v>3.72</v>
      </c>
      <c r="AE465" s="323">
        <v>0.08</v>
      </c>
      <c r="AF465" s="323">
        <v>0.06</v>
      </c>
      <c r="AG465" s="323">
        <v>0.1</v>
      </c>
      <c r="AH465" s="323">
        <v>11.63</v>
      </c>
      <c r="AI465" s="323">
        <v>0.57999999999999996</v>
      </c>
      <c r="AJ465" s="323">
        <v>0.49</v>
      </c>
      <c r="AK465" s="323">
        <v>2.04</v>
      </c>
      <c r="AL465" s="323">
        <v>44.46</v>
      </c>
      <c r="AM465" s="323">
        <v>5.1543045946465728E-2</v>
      </c>
      <c r="AN465" s="323">
        <v>4.6276489120580189E-2</v>
      </c>
      <c r="AO465" s="323">
        <v>3.7859064602579289E-3</v>
      </c>
      <c r="AP465" s="323">
        <v>3.5582873383617443E-3</v>
      </c>
      <c r="AQ465" s="323">
        <v>0.10970304594646571</v>
      </c>
      <c r="AR465" s="323">
        <v>9.9796489120580201E-2</v>
      </c>
      <c r="AS465" s="323">
        <v>5.8370906460257936E-2</v>
      </c>
      <c r="AT465" s="323">
        <v>0.12427538733836177</v>
      </c>
      <c r="AU465" s="190">
        <v>325091581424322.19</v>
      </c>
      <c r="AV465" s="190">
        <v>291874427572637.81</v>
      </c>
      <c r="AW465" s="190">
        <v>191027331922621.94</v>
      </c>
      <c r="AX465" s="190">
        <v>179542242682610.47</v>
      </c>
      <c r="AY465" s="203">
        <v>13.3</v>
      </c>
      <c r="AZ465" s="239">
        <v>266.89999999999998</v>
      </c>
      <c r="BA465" s="203">
        <v>2013</v>
      </c>
      <c r="BB465" s="204">
        <v>41626</v>
      </c>
      <c r="BC465" s="203" t="s">
        <v>1948</v>
      </c>
    </row>
    <row r="466" spans="1:55" x14ac:dyDescent="0.2">
      <c r="A466" s="184" t="s">
        <v>1950</v>
      </c>
      <c r="B466" s="184" t="s">
        <v>1949</v>
      </c>
      <c r="C466" s="184" t="s">
        <v>723</v>
      </c>
      <c r="D466" s="185" t="s">
        <v>1043</v>
      </c>
      <c r="E466" s="184" t="s">
        <v>1951</v>
      </c>
      <c r="F466" s="184" t="s">
        <v>1951</v>
      </c>
      <c r="G466" s="186">
        <f>IF(ALECA_Input!$F$13="ICAO (3000ft)",'Aircraft Calc'!C$211,'Aircraft Calc'!G$211)</f>
        <v>0.7</v>
      </c>
      <c r="H466" s="186">
        <f>IF(ALECA_Input!$F$13="ICAO (3000ft)",'Aircraft Calc'!D$211,'Aircraft Calc'!H$211)</f>
        <v>2.2000000000000002</v>
      </c>
      <c r="I466" s="186">
        <f>IF(ALECA_Input!$F$13="ICAO (3000ft)",'Aircraft Calc'!E$211,'Aircraft Calc'!I$211)</f>
        <v>4</v>
      </c>
      <c r="J466" s="189">
        <v>1</v>
      </c>
      <c r="K466" s="187">
        <f t="shared" si="109"/>
        <v>567.27</v>
      </c>
      <c r="L466" s="187">
        <f t="shared" si="110"/>
        <v>13.317026400000003</v>
      </c>
      <c r="M466" s="187">
        <f t="shared" si="111"/>
        <v>4.4299800000000007E-2</v>
      </c>
      <c r="N466" s="187">
        <f t="shared" si="112"/>
        <v>0.54264210000000002</v>
      </c>
      <c r="O466" s="187">
        <f t="shared" si="113"/>
        <v>5.1682896302312459E-2</v>
      </c>
      <c r="P466" s="188">
        <f t="shared" si="114"/>
        <v>1.6105340864689187E+17</v>
      </c>
      <c r="Q466" s="187">
        <f t="shared" si="115"/>
        <v>12600</v>
      </c>
      <c r="R466" s="219">
        <f t="shared" si="116"/>
        <v>47.627999999999993</v>
      </c>
      <c r="S466" s="219">
        <f t="shared" si="117"/>
        <v>136.83599999999998</v>
      </c>
      <c r="T466" s="219">
        <f t="shared" si="118"/>
        <v>536.88599999999997</v>
      </c>
      <c r="U466" s="219">
        <f t="shared" si="119"/>
        <v>1.5060085404633581</v>
      </c>
      <c r="V466" s="188">
        <f t="shared" si="120"/>
        <v>2262232257800892</v>
      </c>
      <c r="W466" s="323">
        <v>2.7250000000000001</v>
      </c>
      <c r="X466" s="323">
        <v>2.125</v>
      </c>
      <c r="Y466" s="323">
        <v>0.71799999999999997</v>
      </c>
      <c r="Z466" s="323">
        <v>0.21</v>
      </c>
      <c r="AA466" s="323">
        <v>34.36</v>
      </c>
      <c r="AB466" s="323">
        <v>25.98</v>
      </c>
      <c r="AC466" s="323">
        <v>12.17</v>
      </c>
      <c r="AD466" s="323">
        <v>3.78</v>
      </c>
      <c r="AE466" s="323">
        <v>0.08</v>
      </c>
      <c r="AF466" s="323">
        <v>7.0000000000000007E-2</v>
      </c>
      <c r="AG466" s="323">
        <v>0.09</v>
      </c>
      <c r="AH466" s="323">
        <v>10.86</v>
      </c>
      <c r="AI466" s="323">
        <v>0.61</v>
      </c>
      <c r="AJ466" s="323">
        <v>0.5</v>
      </c>
      <c r="AK466" s="323">
        <v>1.93</v>
      </c>
      <c r="AL466" s="323">
        <v>42.61</v>
      </c>
      <c r="AM466" s="323">
        <v>5.3584089581906101E-2</v>
      </c>
      <c r="AN466" s="323">
        <v>4.8622610961824034E-2</v>
      </c>
      <c r="AO466" s="323">
        <v>4.1808593017157525E-3</v>
      </c>
      <c r="AP466" s="323">
        <v>3.5582873383617443E-3</v>
      </c>
      <c r="AQ466" s="323">
        <v>0.1117440895819061</v>
      </c>
      <c r="AR466" s="323">
        <v>0.10290261096182404</v>
      </c>
      <c r="AS466" s="323">
        <v>5.8203359301715746E-2</v>
      </c>
      <c r="AT466" s="323">
        <v>0.11952448733836175</v>
      </c>
      <c r="AU466" s="190">
        <v>337964823411039.75</v>
      </c>
      <c r="AV466" s="190">
        <v>306671854569410.06</v>
      </c>
      <c r="AW466" s="190">
        <v>210955660403776.84</v>
      </c>
      <c r="AX466" s="190">
        <v>179542242682610.47</v>
      </c>
      <c r="AY466" s="203">
        <v>14.6</v>
      </c>
      <c r="AZ466" s="239">
        <v>275.8</v>
      </c>
      <c r="BA466" s="203">
        <v>2013</v>
      </c>
      <c r="BB466" s="204">
        <v>41626</v>
      </c>
      <c r="BC466" s="203" t="s">
        <v>1948</v>
      </c>
    </row>
    <row r="467" spans="1:55" x14ac:dyDescent="0.2">
      <c r="A467" s="184" t="s">
        <v>1953</v>
      </c>
      <c r="B467" s="184" t="s">
        <v>1952</v>
      </c>
      <c r="C467" s="184" t="s">
        <v>723</v>
      </c>
      <c r="D467" s="185" t="s">
        <v>1043</v>
      </c>
      <c r="E467" s="184" t="s">
        <v>1954</v>
      </c>
      <c r="F467" s="184" t="s">
        <v>1954</v>
      </c>
      <c r="G467" s="186">
        <f>IF(ALECA_Input!$F$13="ICAO (3000ft)",'Aircraft Calc'!C$211,'Aircraft Calc'!G$211)</f>
        <v>0.7</v>
      </c>
      <c r="H467" s="186">
        <f>IF(ALECA_Input!$F$13="ICAO (3000ft)",'Aircraft Calc'!D$211,'Aircraft Calc'!H$211)</f>
        <v>2.2000000000000002</v>
      </c>
      <c r="I467" s="186">
        <f>IF(ALECA_Input!$F$13="ICAO (3000ft)",'Aircraft Calc'!E$211,'Aircraft Calc'!I$211)</f>
        <v>4</v>
      </c>
      <c r="J467" s="189">
        <v>1</v>
      </c>
      <c r="K467" s="187">
        <f t="shared" si="109"/>
        <v>625.13400000000001</v>
      </c>
      <c r="L467" s="187">
        <f t="shared" si="110"/>
        <v>16.583923800000001</v>
      </c>
      <c r="M467" s="187">
        <f t="shared" si="111"/>
        <v>8.1593399999999996E-2</v>
      </c>
      <c r="N467" s="187">
        <f t="shared" si="112"/>
        <v>0.11975340000000001</v>
      </c>
      <c r="O467" s="187">
        <f t="shared" si="113"/>
        <v>4.7809298435428325E-2</v>
      </c>
      <c r="P467" s="188">
        <f t="shared" si="114"/>
        <v>1.0999935102749859E+17</v>
      </c>
      <c r="Q467" s="187">
        <f t="shared" si="115"/>
        <v>13680</v>
      </c>
      <c r="R467" s="219">
        <f t="shared" si="116"/>
        <v>57.456000000000003</v>
      </c>
      <c r="S467" s="219">
        <f t="shared" si="117"/>
        <v>43.776000000000003</v>
      </c>
      <c r="T467" s="219">
        <f t="shared" si="118"/>
        <v>287.27999999999997</v>
      </c>
      <c r="U467" s="219">
        <f t="shared" si="119"/>
        <v>0.98376569179986062</v>
      </c>
      <c r="V467" s="188">
        <f t="shared" si="120"/>
        <v>2214830037606051.5</v>
      </c>
      <c r="W467" s="323">
        <v>2.899</v>
      </c>
      <c r="X467" s="323">
        <v>2.3679999999999999</v>
      </c>
      <c r="Y467" s="323">
        <v>0.79500000000000004</v>
      </c>
      <c r="Z467" s="323">
        <v>0.22800000000000001</v>
      </c>
      <c r="AA467" s="323">
        <v>38.1</v>
      </c>
      <c r="AB467" s="323">
        <v>31.5</v>
      </c>
      <c r="AC467" s="323">
        <v>11</v>
      </c>
      <c r="AD467" s="323">
        <v>4.2</v>
      </c>
      <c r="AE467" s="323">
        <v>0.1</v>
      </c>
      <c r="AF467" s="323">
        <v>0.1</v>
      </c>
      <c r="AG467" s="323">
        <v>0.2</v>
      </c>
      <c r="AH467" s="323">
        <v>3.2</v>
      </c>
      <c r="AI467" s="323">
        <v>0.1</v>
      </c>
      <c r="AJ467" s="323">
        <v>0.1</v>
      </c>
      <c r="AK467" s="323">
        <v>0.4</v>
      </c>
      <c r="AL467" s="323">
        <v>21</v>
      </c>
      <c r="AM467" s="323">
        <v>4.4883963015165007E-2</v>
      </c>
      <c r="AN467" s="323">
        <v>1.5789692914712335E-2</v>
      </c>
      <c r="AO467" s="323">
        <v>4.612067998525881E-3</v>
      </c>
      <c r="AP467" s="323">
        <v>3.2086967689956432E-3</v>
      </c>
      <c r="AQ467" s="323">
        <v>0.10534396301516499</v>
      </c>
      <c r="AR467" s="323">
        <v>7.2349692914712341E-2</v>
      </c>
      <c r="AS467" s="323">
        <v>6.4822067998525884E-2</v>
      </c>
      <c r="AT467" s="323">
        <v>7.1912696768995657E-2</v>
      </c>
      <c r="AU467" s="190">
        <v>283091506317765.5</v>
      </c>
      <c r="AV467" s="190">
        <v>99588531209033.469</v>
      </c>
      <c r="AW467" s="190">
        <v>232713368291746.63</v>
      </c>
      <c r="AX467" s="190">
        <v>161902780526758.16</v>
      </c>
      <c r="AY467" s="203">
        <v>18.100000000000001</v>
      </c>
      <c r="AZ467" s="239">
        <v>333.2</v>
      </c>
      <c r="BA467" s="203">
        <v>1994</v>
      </c>
      <c r="BB467" s="204">
        <v>39296</v>
      </c>
      <c r="BC467" s="203" t="s">
        <v>716</v>
      </c>
    </row>
    <row r="468" spans="1:55" x14ac:dyDescent="0.2">
      <c r="A468" s="184" t="s">
        <v>1956</v>
      </c>
      <c r="B468" s="184" t="s">
        <v>1955</v>
      </c>
      <c r="C468" s="184" t="s">
        <v>723</v>
      </c>
      <c r="D468" s="185" t="s">
        <v>1043</v>
      </c>
      <c r="E468" s="184" t="s">
        <v>1957</v>
      </c>
      <c r="F468" s="184" t="s">
        <v>1957</v>
      </c>
      <c r="G468" s="186">
        <f>IF(ALECA_Input!$F$13="ICAO (3000ft)",'Aircraft Calc'!C$211,'Aircraft Calc'!G$211)</f>
        <v>0.7</v>
      </c>
      <c r="H468" s="186">
        <f>IF(ALECA_Input!$F$13="ICAO (3000ft)",'Aircraft Calc'!D$211,'Aircraft Calc'!H$211)</f>
        <v>2.2000000000000002</v>
      </c>
      <c r="I468" s="186">
        <f>IF(ALECA_Input!$F$13="ICAO (3000ft)",'Aircraft Calc'!E$211,'Aircraft Calc'!I$211)</f>
        <v>4</v>
      </c>
      <c r="J468" s="189">
        <v>1</v>
      </c>
      <c r="K468" s="187">
        <f t="shared" si="109"/>
        <v>646.30199999999991</v>
      </c>
      <c r="L468" s="187">
        <f t="shared" si="110"/>
        <v>17.778632399999999</v>
      </c>
      <c r="M468" s="187">
        <f t="shared" si="111"/>
        <v>8.4214200000000003E-2</v>
      </c>
      <c r="N468" s="187">
        <f t="shared" si="112"/>
        <v>0.1233822</v>
      </c>
      <c r="O468" s="187">
        <f t="shared" si="113"/>
        <v>5.1508240095641235E-2</v>
      </c>
      <c r="P468" s="188">
        <f t="shared" si="114"/>
        <v>1.2656417453846611E+17</v>
      </c>
      <c r="Q468" s="187">
        <f t="shared" si="115"/>
        <v>13920</v>
      </c>
      <c r="R468" s="219">
        <f t="shared" si="116"/>
        <v>58.463999999999999</v>
      </c>
      <c r="S468" s="219">
        <f t="shared" si="117"/>
        <v>41.76</v>
      </c>
      <c r="T468" s="219">
        <f t="shared" si="118"/>
        <v>281.18399999999997</v>
      </c>
      <c r="U468" s="219">
        <f t="shared" si="119"/>
        <v>0.98384745902441939</v>
      </c>
      <c r="V468" s="188">
        <f t="shared" si="120"/>
        <v>2253686704932473.5</v>
      </c>
      <c r="W468" s="323">
        <v>3.0190000000000001</v>
      </c>
      <c r="X468" s="323">
        <v>2.452</v>
      </c>
      <c r="Y468" s="323">
        <v>0.81599999999999995</v>
      </c>
      <c r="Z468" s="323">
        <v>0.23200000000000001</v>
      </c>
      <c r="AA468" s="323">
        <v>39.800000000000004</v>
      </c>
      <c r="AB468" s="323">
        <v>32.5</v>
      </c>
      <c r="AC468" s="323">
        <v>11.3</v>
      </c>
      <c r="AD468" s="323">
        <v>4.2</v>
      </c>
      <c r="AE468" s="323">
        <v>0.1</v>
      </c>
      <c r="AF468" s="323">
        <v>0.1</v>
      </c>
      <c r="AG468" s="323">
        <v>0.2</v>
      </c>
      <c r="AH468" s="323">
        <v>3</v>
      </c>
      <c r="AI468" s="323">
        <v>0.1</v>
      </c>
      <c r="AJ468" s="323">
        <v>0.1</v>
      </c>
      <c r="AK468" s="323">
        <v>0.4</v>
      </c>
      <c r="AL468" s="323">
        <v>20.2</v>
      </c>
      <c r="AM468" s="323">
        <v>4.911070392034176E-2</v>
      </c>
      <c r="AN468" s="323">
        <v>2.0433858393637951E-2</v>
      </c>
      <c r="AO468" s="323">
        <v>4.612067998525881E-3</v>
      </c>
      <c r="AP468" s="323">
        <v>3.2086967689956432E-3</v>
      </c>
      <c r="AQ468" s="323">
        <v>0.10957070392034174</v>
      </c>
      <c r="AR468" s="323">
        <v>7.6993858393637954E-2</v>
      </c>
      <c r="AS468" s="323">
        <v>6.4822067998525884E-2</v>
      </c>
      <c r="AT468" s="323">
        <v>7.0678696768995644E-2</v>
      </c>
      <c r="AU468" s="190">
        <v>309750347678478.75</v>
      </c>
      <c r="AV468" s="190">
        <v>128880147026776.91</v>
      </c>
      <c r="AW468" s="190">
        <v>232713368291746.63</v>
      </c>
      <c r="AX468" s="190">
        <v>161902780526758.16</v>
      </c>
      <c r="AY468" s="203">
        <v>19.3</v>
      </c>
      <c r="AZ468" s="239">
        <v>343</v>
      </c>
      <c r="BA468" s="203">
        <v>1994</v>
      </c>
      <c r="BB468" s="204">
        <v>39296</v>
      </c>
      <c r="BC468" s="203" t="s">
        <v>716</v>
      </c>
    </row>
    <row r="469" spans="1:55" x14ac:dyDescent="0.2">
      <c r="A469" s="184" t="s">
        <v>1959</v>
      </c>
      <c r="B469" s="184" t="s">
        <v>1958</v>
      </c>
      <c r="C469" s="184" t="s">
        <v>723</v>
      </c>
      <c r="D469" s="185" t="s">
        <v>1043</v>
      </c>
      <c r="E469" s="184" t="s">
        <v>1960</v>
      </c>
      <c r="F469" s="184" t="s">
        <v>1960</v>
      </c>
      <c r="G469" s="186">
        <f>IF(ALECA_Input!$F$13="ICAO (3000ft)",'Aircraft Calc'!C$211,'Aircraft Calc'!G$211)</f>
        <v>0.7</v>
      </c>
      <c r="H469" s="186">
        <f>IF(ALECA_Input!$F$13="ICAO (3000ft)",'Aircraft Calc'!D$211,'Aircraft Calc'!H$211)</f>
        <v>2.2000000000000002</v>
      </c>
      <c r="I469" s="186">
        <f>IF(ALECA_Input!$F$13="ICAO (3000ft)",'Aircraft Calc'!E$211,'Aircraft Calc'!I$211)</f>
        <v>4</v>
      </c>
      <c r="J469" s="189">
        <v>1</v>
      </c>
      <c r="K469" s="187">
        <f t="shared" si="109"/>
        <v>708.21</v>
      </c>
      <c r="L469" s="187">
        <f t="shared" si="110"/>
        <v>21.567443999999998</v>
      </c>
      <c r="M469" s="187">
        <f t="shared" si="111"/>
        <v>9.1821E-2</v>
      </c>
      <c r="N469" s="187">
        <f t="shared" si="112"/>
        <v>0.133821</v>
      </c>
      <c r="O469" s="187">
        <f t="shared" si="113"/>
        <v>6.5849950133679072E-2</v>
      </c>
      <c r="P469" s="188">
        <f t="shared" si="114"/>
        <v>2.0619598187556531E+17</v>
      </c>
      <c r="Q469" s="187">
        <f t="shared" si="115"/>
        <v>14520</v>
      </c>
      <c r="R469" s="219">
        <f t="shared" si="116"/>
        <v>63.888000000000005</v>
      </c>
      <c r="S469" s="219">
        <f t="shared" si="117"/>
        <v>39.204000000000001</v>
      </c>
      <c r="T469" s="219">
        <f t="shared" si="118"/>
        <v>271.524</v>
      </c>
      <c r="U469" s="219">
        <f t="shared" si="119"/>
        <v>0.9993781570858169</v>
      </c>
      <c r="V469" s="188">
        <f t="shared" si="120"/>
        <v>2350828373248528.5</v>
      </c>
      <c r="W469" s="323">
        <v>3.411</v>
      </c>
      <c r="X469" s="323">
        <v>2.6890000000000001</v>
      </c>
      <c r="Y469" s="323">
        <v>0.875</v>
      </c>
      <c r="Z469" s="323">
        <v>0.24199999999999999</v>
      </c>
      <c r="AA469" s="323">
        <v>45</v>
      </c>
      <c r="AB469" s="323">
        <v>35.5</v>
      </c>
      <c r="AC469" s="323">
        <v>12</v>
      </c>
      <c r="AD469" s="323">
        <v>4.4000000000000004</v>
      </c>
      <c r="AE469" s="323">
        <v>0.1</v>
      </c>
      <c r="AF469" s="323">
        <v>0.1</v>
      </c>
      <c r="AG469" s="323">
        <v>0.2</v>
      </c>
      <c r="AH469" s="323">
        <v>2.7</v>
      </c>
      <c r="AI469" s="323">
        <v>0.1</v>
      </c>
      <c r="AJ469" s="323">
        <v>0.1</v>
      </c>
      <c r="AK469" s="323">
        <v>0.4</v>
      </c>
      <c r="AL469" s="323">
        <v>18.7</v>
      </c>
      <c r="AM469" s="323">
        <v>6.2301816710476257E-2</v>
      </c>
      <c r="AN469" s="323">
        <v>4.0479311715481116E-2</v>
      </c>
      <c r="AO469" s="323">
        <v>5.5944625396011196E-3</v>
      </c>
      <c r="AP469" s="323">
        <v>3.2086967689956432E-3</v>
      </c>
      <c r="AQ469" s="323">
        <v>0.12276181671047626</v>
      </c>
      <c r="AR469" s="323">
        <v>9.7039311715481108E-2</v>
      </c>
      <c r="AS469" s="323">
        <v>6.5804462539601122E-2</v>
      </c>
      <c r="AT469" s="323">
        <v>6.8827696768995653E-2</v>
      </c>
      <c r="AU469" s="190">
        <v>392949150522715.25</v>
      </c>
      <c r="AV469" s="190">
        <v>255310550995020.97</v>
      </c>
      <c r="AW469" s="190">
        <v>282282529613330.44</v>
      </c>
      <c r="AX469" s="190">
        <v>161902780526758.16</v>
      </c>
      <c r="AY469" s="203">
        <v>23.2</v>
      </c>
      <c r="AZ469" s="239">
        <v>369.6</v>
      </c>
      <c r="BA469" s="203">
        <v>1994</v>
      </c>
      <c r="BB469" s="204">
        <v>39296</v>
      </c>
      <c r="BC469" s="203" t="s">
        <v>716</v>
      </c>
    </row>
    <row r="470" spans="1:55" x14ac:dyDescent="0.2">
      <c r="A470" s="184" t="s">
        <v>1962</v>
      </c>
      <c r="B470" s="184" t="s">
        <v>1961</v>
      </c>
      <c r="C470" s="184" t="s">
        <v>723</v>
      </c>
      <c r="D470" s="185" t="s">
        <v>1043</v>
      </c>
      <c r="E470" s="184" t="s">
        <v>1963</v>
      </c>
      <c r="F470" s="184" t="s">
        <v>1963</v>
      </c>
      <c r="G470" s="186">
        <f>IF(ALECA_Input!$F$13="ICAO (3000ft)",'Aircraft Calc'!C$211,'Aircraft Calc'!G$211)</f>
        <v>0.7</v>
      </c>
      <c r="H470" s="186">
        <f>IF(ALECA_Input!$F$13="ICAO (3000ft)",'Aircraft Calc'!D$211,'Aircraft Calc'!H$211)</f>
        <v>2.2000000000000002</v>
      </c>
      <c r="I470" s="186">
        <f>IF(ALECA_Input!$F$13="ICAO (3000ft)",'Aircraft Calc'!E$211,'Aircraft Calc'!I$211)</f>
        <v>4</v>
      </c>
      <c r="J470" s="189">
        <v>1</v>
      </c>
      <c r="K470" s="187">
        <f t="shared" si="109"/>
        <v>860.13600000000008</v>
      </c>
      <c r="L470" s="187">
        <f t="shared" si="110"/>
        <v>28.368609840000001</v>
      </c>
      <c r="M470" s="187">
        <f t="shared" si="111"/>
        <v>0</v>
      </c>
      <c r="N470" s="187">
        <f t="shared" si="112"/>
        <v>0.29835876</v>
      </c>
      <c r="O470" s="187">
        <f t="shared" si="113"/>
        <v>8.5171960083717468E-2</v>
      </c>
      <c r="P470" s="188">
        <f t="shared" si="114"/>
        <v>6.0161366488159437E+17</v>
      </c>
      <c r="Q470" s="187">
        <f t="shared" si="115"/>
        <v>19260</v>
      </c>
      <c r="R470" s="219">
        <f t="shared" si="116"/>
        <v>149.84280000000001</v>
      </c>
      <c r="S470" s="219">
        <f t="shared" si="117"/>
        <v>0</v>
      </c>
      <c r="T470" s="219">
        <f t="shared" si="118"/>
        <v>124.80480000000001</v>
      </c>
      <c r="U470" s="219">
        <f t="shared" si="119"/>
        <v>1.6538085473315127</v>
      </c>
      <c r="V470" s="188">
        <f t="shared" si="120"/>
        <v>3.5867148055784988E+16</v>
      </c>
      <c r="W470" s="323">
        <v>4.1379999999999999</v>
      </c>
      <c r="X470" s="323">
        <v>3.2450000000000001</v>
      </c>
      <c r="Y470" s="323">
        <v>1.075</v>
      </c>
      <c r="Z470" s="323">
        <v>0.32100000000000001</v>
      </c>
      <c r="AA470" s="323">
        <v>51.29</v>
      </c>
      <c r="AB470" s="323">
        <v>36.450000000000003</v>
      </c>
      <c r="AC470" s="323">
        <v>14.89</v>
      </c>
      <c r="AD470" s="323">
        <v>7.78</v>
      </c>
      <c r="AE470" s="323">
        <v>0</v>
      </c>
      <c r="AF470" s="323">
        <v>0</v>
      </c>
      <c r="AG470" s="323">
        <v>0</v>
      </c>
      <c r="AH470" s="323">
        <v>0</v>
      </c>
      <c r="AI470" s="323">
        <v>0.16</v>
      </c>
      <c r="AJ470" s="323">
        <v>0.21</v>
      </c>
      <c r="AK470" s="323">
        <v>0.7</v>
      </c>
      <c r="AL470" s="323">
        <v>6.48</v>
      </c>
      <c r="AM470" s="323">
        <v>5.6942202595022404E-2</v>
      </c>
      <c r="AN470" s="323">
        <v>5.9971681839796329E-2</v>
      </c>
      <c r="AO470" s="323">
        <v>2.8973272411839456E-2</v>
      </c>
      <c r="AP470" s="323">
        <v>3.6907525821989216E-2</v>
      </c>
      <c r="AQ470" s="323">
        <v>0.10590220259502241</v>
      </c>
      <c r="AR470" s="323">
        <v>0.10893168183979632</v>
      </c>
      <c r="AS470" s="323">
        <v>7.7933272411839463E-2</v>
      </c>
      <c r="AT470" s="323">
        <v>8.5867525821989227E-2</v>
      </c>
      <c r="AU470" s="190">
        <v>359145067030507.75</v>
      </c>
      <c r="AV470" s="190">
        <v>378252556323993.06</v>
      </c>
      <c r="AW470" s="190">
        <v>1461918561380391.5</v>
      </c>
      <c r="AX470" s="190">
        <v>1862261062086447.8</v>
      </c>
      <c r="AY470" s="203">
        <v>32.299999999999997</v>
      </c>
      <c r="AZ470" s="239">
        <v>424.1</v>
      </c>
      <c r="BA470" s="203">
        <v>1998</v>
      </c>
      <c r="BB470" s="204">
        <v>37411</v>
      </c>
      <c r="BC470" s="203" t="s">
        <v>1109</v>
      </c>
    </row>
    <row r="471" spans="1:55" x14ac:dyDescent="0.2">
      <c r="A471" s="184" t="s">
        <v>1965</v>
      </c>
      <c r="B471" s="184" t="s">
        <v>1964</v>
      </c>
      <c r="C471" s="184" t="s">
        <v>723</v>
      </c>
      <c r="D471" s="185" t="s">
        <v>1043</v>
      </c>
      <c r="E471" s="184" t="s">
        <v>1966</v>
      </c>
      <c r="F471" s="184" t="s">
        <v>1966</v>
      </c>
      <c r="G471" s="186">
        <f>IF(ALECA_Input!$F$13="ICAO (3000ft)",'Aircraft Calc'!C$211,'Aircraft Calc'!G$211)</f>
        <v>0.7</v>
      </c>
      <c r="H471" s="186">
        <f>IF(ALECA_Input!$F$13="ICAO (3000ft)",'Aircraft Calc'!D$211,'Aircraft Calc'!H$211)</f>
        <v>2.2000000000000002</v>
      </c>
      <c r="I471" s="186">
        <f>IF(ALECA_Input!$F$13="ICAO (3000ft)",'Aircraft Calc'!E$211,'Aircraft Calc'!I$211)</f>
        <v>4</v>
      </c>
      <c r="J471" s="189">
        <v>1</v>
      </c>
      <c r="K471" s="187">
        <f t="shared" si="109"/>
        <v>471.89400000000001</v>
      </c>
      <c r="L471" s="187">
        <f t="shared" si="110"/>
        <v>8.8613189999999999</v>
      </c>
      <c r="M471" s="187">
        <f t="shared" si="111"/>
        <v>2.4161700000000005E-2</v>
      </c>
      <c r="N471" s="187">
        <f t="shared" si="112"/>
        <v>0.52753452000000001</v>
      </c>
      <c r="O471" s="187">
        <f t="shared" si="113"/>
        <v>4.3318448723206594E-2</v>
      </c>
      <c r="P471" s="188">
        <f t="shared" si="114"/>
        <v>2.3179673277024051E+17</v>
      </c>
      <c r="Q471" s="187">
        <f t="shared" si="115"/>
        <v>12180.000000000002</v>
      </c>
      <c r="R471" s="219">
        <f t="shared" si="116"/>
        <v>58.464000000000006</v>
      </c>
      <c r="S471" s="219">
        <f t="shared" si="117"/>
        <v>27.283200000000004</v>
      </c>
      <c r="T471" s="219">
        <f t="shared" si="118"/>
        <v>288.30060000000003</v>
      </c>
      <c r="U471" s="219">
        <f t="shared" si="119"/>
        <v>1.0373608898830591</v>
      </c>
      <c r="V471" s="188">
        <f t="shared" si="120"/>
        <v>1.375929019188751E+16</v>
      </c>
      <c r="W471" s="323">
        <v>2.129</v>
      </c>
      <c r="X471" s="323">
        <v>1.7829999999999999</v>
      </c>
      <c r="Y471" s="323">
        <v>0.61299999999999999</v>
      </c>
      <c r="Z471" s="323">
        <v>0.20300000000000001</v>
      </c>
      <c r="AA471" s="323">
        <v>25.3</v>
      </c>
      <c r="AB471" s="323">
        <v>21.1</v>
      </c>
      <c r="AC471" s="323">
        <v>11.1</v>
      </c>
      <c r="AD471" s="323">
        <v>4.8</v>
      </c>
      <c r="AE471" s="323">
        <v>0.03</v>
      </c>
      <c r="AF471" s="323">
        <v>0.01</v>
      </c>
      <c r="AG471" s="323">
        <v>0.13</v>
      </c>
      <c r="AH471" s="323">
        <v>2.2400000000000002</v>
      </c>
      <c r="AI471" s="323">
        <v>0.5</v>
      </c>
      <c r="AJ471" s="323">
        <v>0.62</v>
      </c>
      <c r="AK471" s="323">
        <v>2.29</v>
      </c>
      <c r="AL471" s="323">
        <v>23.67</v>
      </c>
      <c r="AM471" s="323">
        <v>4.7466696588023799E-2</v>
      </c>
      <c r="AN471" s="323">
        <v>5.0227178643912455E-2</v>
      </c>
      <c r="AO471" s="323">
        <v>1.7575420682313912E-2</v>
      </c>
      <c r="AP471" s="323">
        <v>2.2388402781860346E-2</v>
      </c>
      <c r="AQ471" s="323">
        <v>9.9876696588023811E-2</v>
      </c>
      <c r="AR471" s="323">
        <v>9.9947178643912449E-2</v>
      </c>
      <c r="AS471" s="323">
        <v>7.3847920682313911E-2</v>
      </c>
      <c r="AT471" s="323">
        <v>8.516920278186034E-2</v>
      </c>
      <c r="AU471" s="190">
        <v>299381287532294.75</v>
      </c>
      <c r="AV471" s="190">
        <v>316792161503041.13</v>
      </c>
      <c r="AW471" s="190">
        <v>886811588084339.5</v>
      </c>
      <c r="AX471" s="190">
        <v>1129662577330665.8</v>
      </c>
      <c r="AY471" s="203">
        <v>10.4</v>
      </c>
      <c r="AZ471" s="239">
        <v>231.27</v>
      </c>
      <c r="BA471" s="203">
        <v>1987</v>
      </c>
      <c r="BB471" s="204">
        <v>39296</v>
      </c>
      <c r="BC471" s="203" t="s">
        <v>3102</v>
      </c>
    </row>
    <row r="472" spans="1:55" x14ac:dyDescent="0.2">
      <c r="A472" s="184" t="s">
        <v>1968</v>
      </c>
      <c r="B472" s="184" t="s">
        <v>1967</v>
      </c>
      <c r="C472" s="184" t="s">
        <v>723</v>
      </c>
      <c r="D472" s="185" t="s">
        <v>1043</v>
      </c>
      <c r="E472" s="184" t="s">
        <v>1969</v>
      </c>
      <c r="F472" s="184" t="s">
        <v>1970</v>
      </c>
      <c r="G472" s="186">
        <f>IF(ALECA_Input!$F$13="ICAO (3000ft)",'Aircraft Calc'!C$211,'Aircraft Calc'!G$211)</f>
        <v>0.7</v>
      </c>
      <c r="H472" s="186">
        <f>IF(ALECA_Input!$F$13="ICAO (3000ft)",'Aircraft Calc'!D$211,'Aircraft Calc'!H$211)</f>
        <v>2.2000000000000002</v>
      </c>
      <c r="I472" s="186">
        <f>IF(ALECA_Input!$F$13="ICAO (3000ft)",'Aircraft Calc'!E$211,'Aircraft Calc'!I$211)</f>
        <v>4</v>
      </c>
      <c r="J472" s="189">
        <v>1</v>
      </c>
      <c r="K472" s="187">
        <f t="shared" si="109"/>
        <v>627.20400000000006</v>
      </c>
      <c r="L472" s="187">
        <f t="shared" si="110"/>
        <v>11.908382399999999</v>
      </c>
      <c r="M472" s="187">
        <f t="shared" si="111"/>
        <v>0</v>
      </c>
      <c r="N472" s="187">
        <f t="shared" si="112"/>
        <v>0.54048000000000007</v>
      </c>
      <c r="O472" s="187">
        <f t="shared" si="113"/>
        <v>7.2012465801502265E-2</v>
      </c>
      <c r="P472" s="188">
        <f t="shared" si="114"/>
        <v>6.7147993674191923E+17</v>
      </c>
      <c r="Q472" s="187">
        <f t="shared" si="115"/>
        <v>15000</v>
      </c>
      <c r="R472" s="219">
        <f t="shared" si="116"/>
        <v>78</v>
      </c>
      <c r="S472" s="219">
        <f t="shared" si="117"/>
        <v>3</v>
      </c>
      <c r="T472" s="219">
        <f t="shared" si="118"/>
        <v>238.5</v>
      </c>
      <c r="U472" s="219">
        <f t="shared" si="119"/>
        <v>1.6689604695627915</v>
      </c>
      <c r="V472" s="188">
        <f t="shared" si="120"/>
        <v>4.6221606091959072E+16</v>
      </c>
      <c r="W472" s="323">
        <v>2.8839999999999999</v>
      </c>
      <c r="X472" s="323">
        <v>2.363</v>
      </c>
      <c r="Y472" s="323">
        <v>0.80900000000000005</v>
      </c>
      <c r="Z472" s="323">
        <v>0.25</v>
      </c>
      <c r="AA472" s="323">
        <v>26.9</v>
      </c>
      <c r="AB472" s="323">
        <v>20.2</v>
      </c>
      <c r="AC472" s="323">
        <v>12.1</v>
      </c>
      <c r="AD472" s="323">
        <v>5.2</v>
      </c>
      <c r="AE472" s="323">
        <v>0</v>
      </c>
      <c r="AF472" s="323">
        <v>0</v>
      </c>
      <c r="AG472" s="323">
        <v>0</v>
      </c>
      <c r="AH472" s="323">
        <v>0.2</v>
      </c>
      <c r="AI472" s="323">
        <v>0.1</v>
      </c>
      <c r="AJ472" s="323">
        <v>0.2</v>
      </c>
      <c r="AK472" s="323">
        <v>2.4</v>
      </c>
      <c r="AL472" s="323">
        <v>15.9</v>
      </c>
      <c r="AM472" s="323">
        <v>7.233925209781962E-2</v>
      </c>
      <c r="AN472" s="323">
        <v>7.4487829367394856E-2</v>
      </c>
      <c r="AO472" s="323">
        <v>4.7941405276252715E-2</v>
      </c>
      <c r="AP472" s="323">
        <v>6.1070031304186111E-2</v>
      </c>
      <c r="AQ472" s="323">
        <v>0.12129925209781961</v>
      </c>
      <c r="AR472" s="323">
        <v>0.12344782936739485</v>
      </c>
      <c r="AS472" s="323">
        <v>9.6901405276252711E-2</v>
      </c>
      <c r="AT472" s="323">
        <v>0.11126403130418611</v>
      </c>
      <c r="AU472" s="190">
        <v>456257123181239.44</v>
      </c>
      <c r="AV472" s="190">
        <v>469808599807281.94</v>
      </c>
      <c r="AW472" s="190">
        <v>2419002908465872.5</v>
      </c>
      <c r="AX472" s="190">
        <v>3081440406130605</v>
      </c>
      <c r="AY472" s="203">
        <v>13.9</v>
      </c>
      <c r="AZ472" s="239">
        <v>302.5</v>
      </c>
      <c r="BA472" s="203">
        <v>2000</v>
      </c>
      <c r="BB472" s="204">
        <v>39296</v>
      </c>
      <c r="BC472" s="203" t="s">
        <v>3134</v>
      </c>
    </row>
    <row r="473" spans="1:55" x14ac:dyDescent="0.2">
      <c r="A473" s="184" t="s">
        <v>1972</v>
      </c>
      <c r="B473" s="184" t="s">
        <v>1971</v>
      </c>
      <c r="C473" s="184" t="s">
        <v>723</v>
      </c>
      <c r="D473" s="185" t="s">
        <v>1043</v>
      </c>
      <c r="E473" s="184" t="s">
        <v>1973</v>
      </c>
      <c r="F473" s="184" t="s">
        <v>1973</v>
      </c>
      <c r="G473" s="186">
        <f>IF(ALECA_Input!$F$13="ICAO (3000ft)",'Aircraft Calc'!C$211,'Aircraft Calc'!G$211)</f>
        <v>0.7</v>
      </c>
      <c r="H473" s="186">
        <f>IF(ALECA_Input!$F$13="ICAO (3000ft)",'Aircraft Calc'!D$211,'Aircraft Calc'!H$211)</f>
        <v>2.2000000000000002</v>
      </c>
      <c r="I473" s="186">
        <f>IF(ALECA_Input!$F$13="ICAO (3000ft)",'Aircraft Calc'!E$211,'Aircraft Calc'!I$211)</f>
        <v>4</v>
      </c>
      <c r="J473" s="189">
        <v>1</v>
      </c>
      <c r="K473" s="187">
        <f t="shared" si="109"/>
        <v>511.04400000000004</v>
      </c>
      <c r="L473" s="187">
        <f t="shared" si="110"/>
        <v>10.4299044</v>
      </c>
      <c r="M473" s="187">
        <f t="shared" si="111"/>
        <v>2.8979040000000001E-2</v>
      </c>
      <c r="N473" s="187">
        <f t="shared" si="112"/>
        <v>0.50433336000000006</v>
      </c>
      <c r="O473" s="187">
        <f t="shared" si="113"/>
        <v>4.9072092464836375E-2</v>
      </c>
      <c r="P473" s="188">
        <f t="shared" si="114"/>
        <v>2.8636059377030893E+17</v>
      </c>
      <c r="Q473" s="187">
        <f t="shared" si="115"/>
        <v>12479.999999999998</v>
      </c>
      <c r="R473" s="219">
        <f t="shared" si="116"/>
        <v>59.903999999999989</v>
      </c>
      <c r="S473" s="219">
        <f t="shared" si="117"/>
        <v>23.961599999999997</v>
      </c>
      <c r="T473" s="219">
        <f t="shared" si="118"/>
        <v>272.81279999999998</v>
      </c>
      <c r="U473" s="219">
        <f t="shared" si="119"/>
        <v>1.0950690793056728</v>
      </c>
      <c r="V473" s="188">
        <f t="shared" si="120"/>
        <v>1.6964070402764042E+16</v>
      </c>
      <c r="W473" s="323">
        <v>2.3420000000000001</v>
      </c>
      <c r="X473" s="323">
        <v>1.93</v>
      </c>
      <c r="Y473" s="323">
        <v>0.65800000000000003</v>
      </c>
      <c r="Z473" s="323">
        <v>0.20799999999999999</v>
      </c>
      <c r="AA473" s="323">
        <v>28.1</v>
      </c>
      <c r="AB473" s="323">
        <v>22.900000000000002</v>
      </c>
      <c r="AC473" s="323">
        <v>11.6</v>
      </c>
      <c r="AD473" s="323">
        <v>4.8</v>
      </c>
      <c r="AE473" s="323">
        <v>0.06</v>
      </c>
      <c r="AF473" s="323">
        <v>0.01</v>
      </c>
      <c r="AG473" s="323">
        <v>0.13</v>
      </c>
      <c r="AH473" s="323">
        <v>1.92</v>
      </c>
      <c r="AI473" s="323">
        <v>0.44</v>
      </c>
      <c r="AJ473" s="323">
        <v>0.57000000000000006</v>
      </c>
      <c r="AK473" s="323">
        <v>2</v>
      </c>
      <c r="AL473" s="323">
        <v>21.86</v>
      </c>
      <c r="AM473" s="323">
        <v>5.0732736852412461E-2</v>
      </c>
      <c r="AN473" s="323">
        <v>5.3753601781559641E-2</v>
      </c>
      <c r="AO473" s="323">
        <v>2.1148154174363831E-2</v>
      </c>
      <c r="AP473" s="323">
        <v>2.6939519816159694E-2</v>
      </c>
      <c r="AQ473" s="323">
        <v>0.10659273685241247</v>
      </c>
      <c r="AR473" s="323">
        <v>0.10347360178155965</v>
      </c>
      <c r="AS473" s="323">
        <v>7.7420654174363834E-2</v>
      </c>
      <c r="AT473" s="323">
        <v>8.7745919816159687E-2</v>
      </c>
      <c r="AU473" s="190">
        <v>319980811193515.69</v>
      </c>
      <c r="AV473" s="190">
        <v>339033968395473.19</v>
      </c>
      <c r="AW473" s="190">
        <v>1067082747401464</v>
      </c>
      <c r="AX473" s="190">
        <v>1359300513041990.8</v>
      </c>
      <c r="AY473" s="203">
        <v>12</v>
      </c>
      <c r="AZ473" s="239">
        <v>249.1</v>
      </c>
      <c r="BA473" s="203">
        <v>1987</v>
      </c>
      <c r="BB473" s="204">
        <v>39296</v>
      </c>
      <c r="BC473" s="203" t="s">
        <v>3102</v>
      </c>
    </row>
    <row r="474" spans="1:55" x14ac:dyDescent="0.2">
      <c r="A474" s="184" t="s">
        <v>1975</v>
      </c>
      <c r="B474" s="184" t="s">
        <v>1974</v>
      </c>
      <c r="C474" s="184" t="s">
        <v>723</v>
      </c>
      <c r="D474" s="185" t="s">
        <v>1043</v>
      </c>
      <c r="E474" s="184" t="s">
        <v>1976</v>
      </c>
      <c r="F474" s="184" t="s">
        <v>1977</v>
      </c>
      <c r="G474" s="186">
        <f>IF(ALECA_Input!$F$13="ICAO (3000ft)",'Aircraft Calc'!C$211,'Aircraft Calc'!G$211)</f>
        <v>0.7</v>
      </c>
      <c r="H474" s="186">
        <f>IF(ALECA_Input!$F$13="ICAO (3000ft)",'Aircraft Calc'!D$211,'Aircraft Calc'!H$211)</f>
        <v>2.2000000000000002</v>
      </c>
      <c r="I474" s="186">
        <f>IF(ALECA_Input!$F$13="ICAO (3000ft)",'Aircraft Calc'!E$211,'Aircraft Calc'!I$211)</f>
        <v>4</v>
      </c>
      <c r="J474" s="189">
        <v>1</v>
      </c>
      <c r="K474" s="187">
        <f t="shared" si="109"/>
        <v>586.29600000000005</v>
      </c>
      <c r="L474" s="187">
        <f t="shared" si="110"/>
        <v>10.27765992</v>
      </c>
      <c r="M474" s="187">
        <f t="shared" si="111"/>
        <v>0</v>
      </c>
      <c r="N474" s="187">
        <f t="shared" si="112"/>
        <v>0.59566823999999996</v>
      </c>
      <c r="O474" s="187">
        <f t="shared" si="113"/>
        <v>6.7255912987351035E-2</v>
      </c>
      <c r="P474" s="188">
        <f t="shared" si="114"/>
        <v>6.322682602715977E+17</v>
      </c>
      <c r="Q474" s="187">
        <f t="shared" si="115"/>
        <v>14399.999999999998</v>
      </c>
      <c r="R474" s="219">
        <f t="shared" si="116"/>
        <v>71.855999999999995</v>
      </c>
      <c r="S474" s="219">
        <f t="shared" si="117"/>
        <v>5.3279999999999994</v>
      </c>
      <c r="T474" s="219">
        <f t="shared" si="118"/>
        <v>255.31199999999998</v>
      </c>
      <c r="U474" s="219">
        <f t="shared" si="119"/>
        <v>1.6173062107802798</v>
      </c>
      <c r="V474" s="188">
        <f t="shared" si="120"/>
        <v>4.4372741848280704E+16</v>
      </c>
      <c r="W474" s="323">
        <v>2.6680000000000001</v>
      </c>
      <c r="X474" s="323">
        <v>2.2000000000000002</v>
      </c>
      <c r="Y474" s="323">
        <v>0.76600000000000001</v>
      </c>
      <c r="Z474" s="323">
        <v>0.24</v>
      </c>
      <c r="AA474" s="323">
        <v>23.87</v>
      </c>
      <c r="AB474" s="323">
        <v>18.66</v>
      </c>
      <c r="AC474" s="323">
        <v>11.88</v>
      </c>
      <c r="AD474" s="323">
        <v>4.99</v>
      </c>
      <c r="AE474" s="323">
        <v>0</v>
      </c>
      <c r="AF474" s="323">
        <v>0</v>
      </c>
      <c r="AG474" s="323">
        <v>0</v>
      </c>
      <c r="AH474" s="323">
        <v>0.37</v>
      </c>
      <c r="AI474" s="323">
        <v>0.19</v>
      </c>
      <c r="AJ474" s="323">
        <v>0.18</v>
      </c>
      <c r="AK474" s="323">
        <v>2.84</v>
      </c>
      <c r="AL474" s="323">
        <v>17.73</v>
      </c>
      <c r="AM474" s="323">
        <v>7.233925209781962E-2</v>
      </c>
      <c r="AN474" s="323">
        <v>7.4487829367394856E-2</v>
      </c>
      <c r="AO474" s="323">
        <v>4.7941405276252715E-2</v>
      </c>
      <c r="AP474" s="323">
        <v>6.1070031304186111E-2</v>
      </c>
      <c r="AQ474" s="323">
        <v>0.12129925209781961</v>
      </c>
      <c r="AR474" s="323">
        <v>0.12344782936739485</v>
      </c>
      <c r="AS474" s="323">
        <v>9.6901405276252711E-2</v>
      </c>
      <c r="AT474" s="323">
        <v>0.11231293130418611</v>
      </c>
      <c r="AU474" s="190">
        <v>456257123181239.44</v>
      </c>
      <c r="AV474" s="190">
        <v>469808599807281.94</v>
      </c>
      <c r="AW474" s="190">
        <v>2419002908465872.5</v>
      </c>
      <c r="AX474" s="190">
        <v>3081440406130605</v>
      </c>
      <c r="AY474" s="203">
        <v>12.1</v>
      </c>
      <c r="AZ474" s="239">
        <v>284.68</v>
      </c>
      <c r="BA474" s="203">
        <v>2000</v>
      </c>
      <c r="BB474" s="204">
        <v>39296</v>
      </c>
      <c r="BC474" s="203" t="s">
        <v>3134</v>
      </c>
    </row>
    <row r="475" spans="1:55" x14ac:dyDescent="0.2">
      <c r="A475" s="184" t="s">
        <v>1979</v>
      </c>
      <c r="B475" s="184" t="s">
        <v>1978</v>
      </c>
      <c r="C475" s="184" t="s">
        <v>723</v>
      </c>
      <c r="D475" s="185" t="s">
        <v>1043</v>
      </c>
      <c r="E475" s="184" t="s">
        <v>1980</v>
      </c>
      <c r="F475" s="184" t="s">
        <v>1980</v>
      </c>
      <c r="G475" s="186">
        <f>IF(ALECA_Input!$F$13="ICAO (3000ft)",'Aircraft Calc'!C$211,'Aircraft Calc'!G$211)</f>
        <v>0.7</v>
      </c>
      <c r="H475" s="186">
        <f>IF(ALECA_Input!$F$13="ICAO (3000ft)",'Aircraft Calc'!D$211,'Aircraft Calc'!H$211)</f>
        <v>2.2000000000000002</v>
      </c>
      <c r="I475" s="186">
        <f>IF(ALECA_Input!$F$13="ICAO (3000ft)",'Aircraft Calc'!E$211,'Aircraft Calc'!I$211)</f>
        <v>4</v>
      </c>
      <c r="J475" s="189">
        <v>1</v>
      </c>
      <c r="K475" s="187">
        <f t="shared" si="109"/>
        <v>532.41000000000008</v>
      </c>
      <c r="L475" s="187">
        <f t="shared" si="110"/>
        <v>11.347638000000002</v>
      </c>
      <c r="M475" s="187">
        <f t="shared" si="111"/>
        <v>3.7583939999999996E-2</v>
      </c>
      <c r="N475" s="187">
        <f t="shared" si="112"/>
        <v>0.49224432000000001</v>
      </c>
      <c r="O475" s="187">
        <f t="shared" si="113"/>
        <v>5.250105559472356E-2</v>
      </c>
      <c r="P475" s="188">
        <f t="shared" si="114"/>
        <v>3.1259695988794221E+17</v>
      </c>
      <c r="Q475" s="187">
        <f t="shared" si="115"/>
        <v>12660</v>
      </c>
      <c r="R475" s="219">
        <f t="shared" si="116"/>
        <v>60.768000000000001</v>
      </c>
      <c r="S475" s="219">
        <f t="shared" si="117"/>
        <v>22.534800000000001</v>
      </c>
      <c r="T475" s="219">
        <f t="shared" si="118"/>
        <v>265.73340000000002</v>
      </c>
      <c r="U475" s="219">
        <f t="shared" si="119"/>
        <v>1.1233857230583155</v>
      </c>
      <c r="V475" s="188">
        <f t="shared" si="120"/>
        <v>1.8392380610560248E+16</v>
      </c>
      <c r="W475" s="323">
        <v>2.4809999999999999</v>
      </c>
      <c r="X475" s="323">
        <v>2.004</v>
      </c>
      <c r="Y475" s="323">
        <v>0.68200000000000005</v>
      </c>
      <c r="Z475" s="323">
        <v>0.21099999999999999</v>
      </c>
      <c r="AA475" s="323">
        <v>30.2</v>
      </c>
      <c r="AB475" s="323">
        <v>23.7</v>
      </c>
      <c r="AC475" s="323">
        <v>11.8</v>
      </c>
      <c r="AD475" s="323">
        <v>4.8</v>
      </c>
      <c r="AE475" s="323">
        <v>0.09</v>
      </c>
      <c r="AF475" s="323">
        <v>0.02</v>
      </c>
      <c r="AG475" s="323">
        <v>0.14000000000000001</v>
      </c>
      <c r="AH475" s="323">
        <v>1.78</v>
      </c>
      <c r="AI475" s="323">
        <v>0.4</v>
      </c>
      <c r="AJ475" s="323">
        <v>0.54</v>
      </c>
      <c r="AK475" s="323">
        <v>1.8800000000000001</v>
      </c>
      <c r="AL475" s="323">
        <v>20.990000000000002</v>
      </c>
      <c r="AM475" s="323">
        <v>5.1949049886425666E-2</v>
      </c>
      <c r="AN475" s="323">
        <v>5.5010797280830109E-2</v>
      </c>
      <c r="AO475" s="323">
        <v>2.2602747161258586E-2</v>
      </c>
      <c r="AP475" s="323">
        <v>2.879244921471686E-2</v>
      </c>
      <c r="AQ475" s="323">
        <v>0.11125904988642565</v>
      </c>
      <c r="AR475" s="323">
        <v>0.10549079728083011</v>
      </c>
      <c r="AS475" s="323">
        <v>7.9437747161258579E-2</v>
      </c>
      <c r="AT475" s="323">
        <v>8.8735049214716866E-2</v>
      </c>
      <c r="AU475" s="190">
        <v>327652323819002.69</v>
      </c>
      <c r="AV475" s="190">
        <v>346963334336358.25</v>
      </c>
      <c r="AW475" s="190">
        <v>1140477856402897.8</v>
      </c>
      <c r="AX475" s="190">
        <v>1452794676979482.5</v>
      </c>
      <c r="AY475" s="203">
        <v>12.9</v>
      </c>
      <c r="AZ475" s="239">
        <v>258</v>
      </c>
      <c r="BA475" s="203">
        <v>1987</v>
      </c>
      <c r="BB475" s="204">
        <v>39296</v>
      </c>
      <c r="BC475" s="203" t="s">
        <v>3102</v>
      </c>
    </row>
    <row r="476" spans="1:55" x14ac:dyDescent="0.2">
      <c r="A476" s="184" t="s">
        <v>1982</v>
      </c>
      <c r="B476" s="184" t="s">
        <v>1981</v>
      </c>
      <c r="C476" s="184" t="s">
        <v>723</v>
      </c>
      <c r="D476" s="185" t="s">
        <v>1043</v>
      </c>
      <c r="E476" s="184" t="s">
        <v>1976</v>
      </c>
      <c r="F476" s="184" t="s">
        <v>1976</v>
      </c>
      <c r="G476" s="186">
        <f>IF(ALECA_Input!$F$13="ICAO (3000ft)",'Aircraft Calc'!C$211,'Aircraft Calc'!G$211)</f>
        <v>0.7</v>
      </c>
      <c r="H476" s="186">
        <f>IF(ALECA_Input!$F$13="ICAO (3000ft)",'Aircraft Calc'!D$211,'Aircraft Calc'!H$211)</f>
        <v>2.2000000000000002</v>
      </c>
      <c r="I476" s="186">
        <f>IF(ALECA_Input!$F$13="ICAO (3000ft)",'Aircraft Calc'!E$211,'Aircraft Calc'!I$211)</f>
        <v>4</v>
      </c>
      <c r="J476" s="189">
        <v>1</v>
      </c>
      <c r="K476" s="187">
        <f t="shared" si="109"/>
        <v>578.88</v>
      </c>
      <c r="L476" s="187">
        <f t="shared" si="110"/>
        <v>15.911800919999999</v>
      </c>
      <c r="M476" s="187">
        <f t="shared" si="111"/>
        <v>4.3767479999999997E-2</v>
      </c>
      <c r="N476" s="187">
        <f t="shared" si="112"/>
        <v>0.63991320000000007</v>
      </c>
      <c r="O476" s="187">
        <f t="shared" si="113"/>
        <v>3.8352010014904278E-2</v>
      </c>
      <c r="P476" s="188">
        <f t="shared" si="114"/>
        <v>8.1796051107061712E+16</v>
      </c>
      <c r="Q476" s="187">
        <f t="shared" si="115"/>
        <v>12600</v>
      </c>
      <c r="R476" s="219">
        <f t="shared" si="116"/>
        <v>50.777999999999999</v>
      </c>
      <c r="S476" s="219">
        <f t="shared" si="117"/>
        <v>56.195999999999998</v>
      </c>
      <c r="T476" s="219">
        <f t="shared" si="118"/>
        <v>336.04200000000003</v>
      </c>
      <c r="U476" s="219">
        <f t="shared" si="119"/>
        <v>1.0040548992893452</v>
      </c>
      <c r="V476" s="188">
        <f t="shared" si="120"/>
        <v>2039975034637152.8</v>
      </c>
      <c r="W476" s="323">
        <v>2.6259999999999999</v>
      </c>
      <c r="X476" s="323">
        <v>2.1789999999999998</v>
      </c>
      <c r="Y476" s="323">
        <v>0.754</v>
      </c>
      <c r="Z476" s="323">
        <v>0.21</v>
      </c>
      <c r="AA476" s="323">
        <v>38.57</v>
      </c>
      <c r="AB476" s="323">
        <v>31.66</v>
      </c>
      <c r="AC476" s="323">
        <v>14.1</v>
      </c>
      <c r="AD476" s="323">
        <v>4.03</v>
      </c>
      <c r="AE476" s="323">
        <v>0.03</v>
      </c>
      <c r="AF476" s="323">
        <v>0.04</v>
      </c>
      <c r="AG476" s="323">
        <v>0.16</v>
      </c>
      <c r="AH476" s="323">
        <v>4.46</v>
      </c>
      <c r="AI476" s="323">
        <v>0.69000000000000006</v>
      </c>
      <c r="AJ476" s="323">
        <v>0.79</v>
      </c>
      <c r="AK476" s="323">
        <v>1.86</v>
      </c>
      <c r="AL476" s="323">
        <v>26.67</v>
      </c>
      <c r="AM476" s="323">
        <v>2.1354478009686265E-2</v>
      </c>
      <c r="AN476" s="323">
        <v>1.3686709156433731E-2</v>
      </c>
      <c r="AO476" s="323">
        <v>4.612067998525881E-3</v>
      </c>
      <c r="AP476" s="323">
        <v>3.2086967689956432E-3</v>
      </c>
      <c r="AQ476" s="323">
        <v>7.376447800968626E-2</v>
      </c>
      <c r="AR476" s="323">
        <v>6.5686709156433723E-2</v>
      </c>
      <c r="AS476" s="323">
        <v>6.2572067998525882E-2</v>
      </c>
      <c r="AT476" s="323">
        <v>7.9686896768995652E-2</v>
      </c>
      <c r="AU476" s="190">
        <v>134686666245339.34</v>
      </c>
      <c r="AV476" s="190">
        <v>86324621342345.922</v>
      </c>
      <c r="AW476" s="190">
        <v>232713368291746.63</v>
      </c>
      <c r="AX476" s="190">
        <v>161902780526758.16</v>
      </c>
      <c r="AY476" s="203">
        <v>17.2</v>
      </c>
      <c r="AZ476" s="239">
        <v>284.68</v>
      </c>
      <c r="BA476" s="203">
        <v>1993</v>
      </c>
      <c r="BB476" s="204">
        <v>39296</v>
      </c>
      <c r="BC476" s="203" t="s">
        <v>1929</v>
      </c>
    </row>
    <row r="477" spans="1:55" x14ac:dyDescent="0.2">
      <c r="A477" s="184" t="s">
        <v>1984</v>
      </c>
      <c r="B477" s="184" t="s">
        <v>1983</v>
      </c>
      <c r="C477" s="184" t="s">
        <v>723</v>
      </c>
      <c r="D477" s="185" t="s">
        <v>1043</v>
      </c>
      <c r="E477" s="184" t="s">
        <v>211</v>
      </c>
      <c r="F477" s="184" t="s">
        <v>1985</v>
      </c>
      <c r="G477" s="186">
        <f>IF(ALECA_Input!$F$13="ICAO (3000ft)",'Aircraft Calc'!C$211,'Aircraft Calc'!G$211)</f>
        <v>0.7</v>
      </c>
      <c r="H477" s="186">
        <f>IF(ALECA_Input!$F$13="ICAO (3000ft)",'Aircraft Calc'!D$211,'Aircraft Calc'!H$211)</f>
        <v>2.2000000000000002</v>
      </c>
      <c r="I477" s="186">
        <f>IF(ALECA_Input!$F$13="ICAO (3000ft)",'Aircraft Calc'!E$211,'Aircraft Calc'!I$211)</f>
        <v>4</v>
      </c>
      <c r="J477" s="189">
        <v>1</v>
      </c>
      <c r="K477" s="187">
        <f t="shared" si="109"/>
        <v>617.79600000000005</v>
      </c>
      <c r="L477" s="187">
        <f t="shared" si="110"/>
        <v>18.272772120000006</v>
      </c>
      <c r="M477" s="187">
        <f t="shared" si="111"/>
        <v>4.4587920000000003E-2</v>
      </c>
      <c r="N477" s="187">
        <f t="shared" si="112"/>
        <v>0.64822199999999996</v>
      </c>
      <c r="O477" s="187">
        <f t="shared" si="113"/>
        <v>4.2464369509491368E-2</v>
      </c>
      <c r="P477" s="188">
        <f t="shared" si="114"/>
        <v>1.0135609403236486E+17</v>
      </c>
      <c r="Q477" s="187">
        <f t="shared" si="115"/>
        <v>13260</v>
      </c>
      <c r="R477" s="219">
        <f t="shared" si="116"/>
        <v>55.029000000000003</v>
      </c>
      <c r="S477" s="219">
        <f t="shared" si="117"/>
        <v>43.625399999999999</v>
      </c>
      <c r="T477" s="219">
        <f t="shared" si="118"/>
        <v>311.74260000000004</v>
      </c>
      <c r="U477" s="219">
        <f t="shared" si="119"/>
        <v>0.96092563715688228</v>
      </c>
      <c r="V477" s="188">
        <f t="shared" si="120"/>
        <v>2146830869784813</v>
      </c>
      <c r="W477" s="323">
        <v>2.8359999999999999</v>
      </c>
      <c r="X477" s="323">
        <v>2.327</v>
      </c>
      <c r="Y477" s="323">
        <v>0.79800000000000004</v>
      </c>
      <c r="Z477" s="323">
        <v>0.221</v>
      </c>
      <c r="AA477" s="323">
        <v>42.39</v>
      </c>
      <c r="AB477" s="323">
        <v>33.910000000000004</v>
      </c>
      <c r="AC477" s="323">
        <v>14.66</v>
      </c>
      <c r="AD477" s="323">
        <v>4.1500000000000004</v>
      </c>
      <c r="AE477" s="323">
        <v>0.03</v>
      </c>
      <c r="AF477" s="323">
        <v>0.04</v>
      </c>
      <c r="AG477" s="323">
        <v>0.15</v>
      </c>
      <c r="AH477" s="323">
        <v>3.29</v>
      </c>
      <c r="AI477" s="323">
        <v>0.72</v>
      </c>
      <c r="AJ477" s="323">
        <v>0.74</v>
      </c>
      <c r="AK477" s="323">
        <v>1.75</v>
      </c>
      <c r="AL477" s="323">
        <v>23.51</v>
      </c>
      <c r="AM477" s="323">
        <v>2.8821833585052945E-2</v>
      </c>
      <c r="AN477" s="323">
        <v>1.5789692914712335E-2</v>
      </c>
      <c r="AO477" s="323">
        <v>5.0822938233804947E-3</v>
      </c>
      <c r="AP477" s="323">
        <v>3.2086967689956432E-3</v>
      </c>
      <c r="AQ477" s="323">
        <v>8.1231833585052954E-2</v>
      </c>
      <c r="AR477" s="323">
        <v>6.7789692914712346E-2</v>
      </c>
      <c r="AS477" s="323">
        <v>6.2479793823380501E-2</v>
      </c>
      <c r="AT477" s="323">
        <v>7.2467996768995652E-2</v>
      </c>
      <c r="AU477" s="190">
        <v>181784667313709.25</v>
      </c>
      <c r="AV477" s="190">
        <v>99588531209033.469</v>
      </c>
      <c r="AW477" s="190">
        <v>256439782471818.91</v>
      </c>
      <c r="AX477" s="190">
        <v>161902780526758.16</v>
      </c>
      <c r="AY477" s="203">
        <v>19.7</v>
      </c>
      <c r="AZ477" s="239">
        <v>302.48</v>
      </c>
      <c r="BA477" s="203">
        <v>1993</v>
      </c>
      <c r="BB477" s="204">
        <v>39296</v>
      </c>
      <c r="BC477" s="203" t="s">
        <v>1929</v>
      </c>
    </row>
    <row r="478" spans="1:55" x14ac:dyDescent="0.2">
      <c r="A478" s="184" t="s">
        <v>1987</v>
      </c>
      <c r="B478" s="184" t="s">
        <v>1986</v>
      </c>
      <c r="C478" s="184" t="s">
        <v>723</v>
      </c>
      <c r="D478" s="185" t="s">
        <v>1043</v>
      </c>
      <c r="E478" s="184" t="s">
        <v>211</v>
      </c>
      <c r="F478" s="184" t="s">
        <v>1988</v>
      </c>
      <c r="G478" s="186">
        <f>IF(ALECA_Input!$F$13="ICAO (3000ft)",'Aircraft Calc'!C$211,'Aircraft Calc'!G$211)</f>
        <v>0.7</v>
      </c>
      <c r="H478" s="186">
        <f>IF(ALECA_Input!$F$13="ICAO (3000ft)",'Aircraft Calc'!D$211,'Aircraft Calc'!H$211)</f>
        <v>2.2000000000000002</v>
      </c>
      <c r="I478" s="186">
        <f>IF(ALECA_Input!$F$13="ICAO (3000ft)",'Aircraft Calc'!E$211,'Aircraft Calc'!I$211)</f>
        <v>4</v>
      </c>
      <c r="J478" s="189">
        <v>1</v>
      </c>
      <c r="K478" s="187">
        <f t="shared" si="109"/>
        <v>627.20400000000006</v>
      </c>
      <c r="L478" s="187">
        <f t="shared" si="110"/>
        <v>11.908382399999999</v>
      </c>
      <c r="M478" s="187">
        <f t="shared" si="111"/>
        <v>0</v>
      </c>
      <c r="N478" s="187">
        <f t="shared" si="112"/>
        <v>0.54048000000000007</v>
      </c>
      <c r="O478" s="187">
        <f t="shared" si="113"/>
        <v>7.268238935873976E-2</v>
      </c>
      <c r="P478" s="188">
        <f t="shared" si="114"/>
        <v>6.8557667272125184E+17</v>
      </c>
      <c r="Q478" s="187">
        <f t="shared" si="115"/>
        <v>15000</v>
      </c>
      <c r="R478" s="219">
        <f t="shared" si="116"/>
        <v>78</v>
      </c>
      <c r="S478" s="219">
        <f t="shared" si="117"/>
        <v>3</v>
      </c>
      <c r="T478" s="219">
        <f t="shared" si="118"/>
        <v>238.5</v>
      </c>
      <c r="U478" s="219">
        <f t="shared" si="119"/>
        <v>1.6909640875787004</v>
      </c>
      <c r="V478" s="188">
        <f t="shared" si="120"/>
        <v>4.733185339636216E+16</v>
      </c>
      <c r="W478" s="323">
        <v>2.8839999999999999</v>
      </c>
      <c r="X478" s="323">
        <v>2.363</v>
      </c>
      <c r="Y478" s="323">
        <v>0.80900000000000005</v>
      </c>
      <c r="Z478" s="323">
        <v>0.25</v>
      </c>
      <c r="AA478" s="323">
        <v>26.9</v>
      </c>
      <c r="AB478" s="323">
        <v>20.2</v>
      </c>
      <c r="AC478" s="323">
        <v>12.1</v>
      </c>
      <c r="AD478" s="323">
        <v>5.2</v>
      </c>
      <c r="AE478" s="323">
        <v>0</v>
      </c>
      <c r="AF478" s="323">
        <v>0</v>
      </c>
      <c r="AG478" s="323">
        <v>0</v>
      </c>
      <c r="AH478" s="323">
        <v>0.2</v>
      </c>
      <c r="AI478" s="323">
        <v>0.1</v>
      </c>
      <c r="AJ478" s="323">
        <v>0.2</v>
      </c>
      <c r="AK478" s="323">
        <v>2.4</v>
      </c>
      <c r="AL478" s="323">
        <v>15.9</v>
      </c>
      <c r="AM478" s="323">
        <v>7.342876713159649E-2</v>
      </c>
      <c r="AN478" s="323">
        <v>7.5495685536990237E-2</v>
      </c>
      <c r="AO478" s="323">
        <v>4.9092962318025755E-2</v>
      </c>
      <c r="AP478" s="323">
        <v>6.2536939171913358E-2</v>
      </c>
      <c r="AQ478" s="323">
        <v>0.12238876713159649</v>
      </c>
      <c r="AR478" s="323">
        <v>0.12445568553699024</v>
      </c>
      <c r="AS478" s="323">
        <v>9.8052962318025766E-2</v>
      </c>
      <c r="AT478" s="323">
        <v>0.11273093917191336</v>
      </c>
      <c r="AU478" s="190">
        <v>463128897225869.44</v>
      </c>
      <c r="AV478" s="190">
        <v>476165336201214.25</v>
      </c>
      <c r="AW478" s="190">
        <v>2477107584731864</v>
      </c>
      <c r="AX478" s="190">
        <v>3155456893090810.5</v>
      </c>
      <c r="AY478" s="203">
        <v>13.9</v>
      </c>
      <c r="AZ478" s="239">
        <v>302.5</v>
      </c>
      <c r="BA478" s="203">
        <v>1993</v>
      </c>
      <c r="BB478" s="204">
        <v>37055</v>
      </c>
      <c r="BC478" s="203" t="s">
        <v>3135</v>
      </c>
    </row>
    <row r="479" spans="1:55" x14ac:dyDescent="0.2">
      <c r="A479" s="184" t="s">
        <v>1990</v>
      </c>
      <c r="B479" s="184" t="s">
        <v>1989</v>
      </c>
      <c r="C479" s="184" t="s">
        <v>723</v>
      </c>
      <c r="D479" s="185" t="s">
        <v>1043</v>
      </c>
      <c r="E479" s="184" t="s">
        <v>1969</v>
      </c>
      <c r="F479" s="184" t="s">
        <v>1991</v>
      </c>
      <c r="G479" s="186">
        <f>IF(ALECA_Input!$F$13="ICAO (3000ft)",'Aircraft Calc'!C$211,'Aircraft Calc'!G$211)</f>
        <v>0.7</v>
      </c>
      <c r="H479" s="186">
        <f>IF(ALECA_Input!$F$13="ICAO (3000ft)",'Aircraft Calc'!D$211,'Aircraft Calc'!H$211)</f>
        <v>2.2000000000000002</v>
      </c>
      <c r="I479" s="186">
        <f>IF(ALECA_Input!$F$13="ICAO (3000ft)",'Aircraft Calc'!E$211,'Aircraft Calc'!I$211)</f>
        <v>4</v>
      </c>
      <c r="J479" s="189">
        <v>1</v>
      </c>
      <c r="K479" s="187">
        <f t="shared" si="109"/>
        <v>617.79600000000005</v>
      </c>
      <c r="L479" s="187">
        <f t="shared" si="110"/>
        <v>18.272772120000006</v>
      </c>
      <c r="M479" s="187">
        <f t="shared" si="111"/>
        <v>4.4587920000000003E-2</v>
      </c>
      <c r="N479" s="187">
        <f t="shared" si="112"/>
        <v>0.64822199999999996</v>
      </c>
      <c r="O479" s="187">
        <f t="shared" si="113"/>
        <v>4.2464369509491368E-2</v>
      </c>
      <c r="P479" s="188">
        <f t="shared" si="114"/>
        <v>1.0135609403236486E+17</v>
      </c>
      <c r="Q479" s="187">
        <f t="shared" si="115"/>
        <v>13260</v>
      </c>
      <c r="R479" s="219">
        <f t="shared" si="116"/>
        <v>55.029000000000003</v>
      </c>
      <c r="S479" s="219">
        <f t="shared" si="117"/>
        <v>43.625399999999999</v>
      </c>
      <c r="T479" s="219">
        <f t="shared" si="118"/>
        <v>311.74260000000004</v>
      </c>
      <c r="U479" s="219">
        <f t="shared" si="119"/>
        <v>0.96092563715688228</v>
      </c>
      <c r="V479" s="188">
        <f t="shared" si="120"/>
        <v>2146830869784813</v>
      </c>
      <c r="W479" s="323">
        <v>2.8359999999999999</v>
      </c>
      <c r="X479" s="323">
        <v>2.327</v>
      </c>
      <c r="Y479" s="323">
        <v>0.79800000000000004</v>
      </c>
      <c r="Z479" s="323">
        <v>0.221</v>
      </c>
      <c r="AA479" s="323">
        <v>42.39</v>
      </c>
      <c r="AB479" s="323">
        <v>33.910000000000004</v>
      </c>
      <c r="AC479" s="323">
        <v>14.66</v>
      </c>
      <c r="AD479" s="323">
        <v>4.1500000000000004</v>
      </c>
      <c r="AE479" s="323">
        <v>0.03</v>
      </c>
      <c r="AF479" s="323">
        <v>0.04</v>
      </c>
      <c r="AG479" s="323">
        <v>0.15</v>
      </c>
      <c r="AH479" s="323">
        <v>3.29</v>
      </c>
      <c r="AI479" s="323">
        <v>0.72</v>
      </c>
      <c r="AJ479" s="323">
        <v>0.74</v>
      </c>
      <c r="AK479" s="323">
        <v>1.75</v>
      </c>
      <c r="AL479" s="323">
        <v>23.51</v>
      </c>
      <c r="AM479" s="323">
        <v>2.8821833585052945E-2</v>
      </c>
      <c r="AN479" s="323">
        <v>1.5789692914712335E-2</v>
      </c>
      <c r="AO479" s="323">
        <v>5.0822938233804947E-3</v>
      </c>
      <c r="AP479" s="323">
        <v>3.2086967689956432E-3</v>
      </c>
      <c r="AQ479" s="323">
        <v>8.1231833585052954E-2</v>
      </c>
      <c r="AR479" s="323">
        <v>6.7789692914712346E-2</v>
      </c>
      <c r="AS479" s="323">
        <v>6.2479793823380501E-2</v>
      </c>
      <c r="AT479" s="323">
        <v>7.2467996768995652E-2</v>
      </c>
      <c r="AU479" s="190">
        <v>181784667313709.25</v>
      </c>
      <c r="AV479" s="190">
        <v>99588531209033.469</v>
      </c>
      <c r="AW479" s="190">
        <v>256439782471818.91</v>
      </c>
      <c r="AX479" s="190">
        <v>161902780526758.16</v>
      </c>
      <c r="AY479" s="203">
        <v>19.7</v>
      </c>
      <c r="AZ479" s="239">
        <v>302.48</v>
      </c>
      <c r="BA479" s="203">
        <v>1993</v>
      </c>
      <c r="BB479" s="204">
        <v>39296</v>
      </c>
      <c r="BC479" s="203" t="s">
        <v>1929</v>
      </c>
    </row>
    <row r="480" spans="1:55" x14ac:dyDescent="0.2">
      <c r="A480" s="184" t="s">
        <v>1993</v>
      </c>
      <c r="B480" s="184" t="s">
        <v>1992</v>
      </c>
      <c r="C480" s="184" t="s">
        <v>723</v>
      </c>
      <c r="D480" s="185" t="s">
        <v>1043</v>
      </c>
      <c r="E480" s="184" t="s">
        <v>1994</v>
      </c>
      <c r="F480" s="184" t="s">
        <v>1995</v>
      </c>
      <c r="G480" s="186">
        <f>IF(ALECA_Input!$F$13="ICAO (3000ft)",'Aircraft Calc'!C$211,'Aircraft Calc'!G$211)</f>
        <v>0.7</v>
      </c>
      <c r="H480" s="186">
        <f>IF(ALECA_Input!$F$13="ICAO (3000ft)",'Aircraft Calc'!D$211,'Aircraft Calc'!H$211)</f>
        <v>2.2000000000000002</v>
      </c>
      <c r="I480" s="186">
        <f>IF(ALECA_Input!$F$13="ICAO (3000ft)",'Aircraft Calc'!E$211,'Aircraft Calc'!I$211)</f>
        <v>4</v>
      </c>
      <c r="J480" s="189">
        <v>1</v>
      </c>
      <c r="K480" s="187">
        <f t="shared" ref="K480:K547" si="121">(G480*W480*60+H480*X480*60+I480*Y480*60)</f>
        <v>527.81999999999994</v>
      </c>
      <c r="L480" s="187">
        <f t="shared" ref="L480:L547" si="122">(G480*W480*60*AA480+H480*X480*60*AB480+I480*Y480*60*AC480)/1000</f>
        <v>8.8745759999999994</v>
      </c>
      <c r="M480" s="187">
        <f t="shared" ref="M480:M547" si="123">(G480*W480*60*AE480+H480*X480*60*AF480+I480*Y480*60*AG480)/1000</f>
        <v>0</v>
      </c>
      <c r="N480" s="187">
        <f t="shared" ref="N480:N547" si="124">(G480*W480*60*AI480+H480*X480*60*AJ480+I480*Y480*60*AK480)/1000</f>
        <v>0.70478279999999993</v>
      </c>
      <c r="O480" s="187">
        <f t="shared" ref="O480:O547" si="125">(G480*W480*60*AQ480+H480*X480*60*AR480+I480*Y480*60*AS480)/1000</f>
        <v>5.0202594724301178E-2</v>
      </c>
      <c r="P480" s="188">
        <f t="shared" ref="P480:P547" si="126">(G480*W480*60*AU480+H480*X480*60*AV480+I480*Y480*60*AW480)</f>
        <v>1.8301773646914816E+17</v>
      </c>
      <c r="Q480" s="187">
        <f t="shared" ref="Q480:Q547" si="127">J480*Z480*60*1000</f>
        <v>12719.999999999998</v>
      </c>
      <c r="R480" s="219">
        <f t="shared" ref="R480:R547" si="128">J480*Z480*60*AD480</f>
        <v>54.695999999999991</v>
      </c>
      <c r="S480" s="219">
        <f t="shared" ref="S480:S547" si="129">J480*Z480*60*AH480</f>
        <v>21.623999999999999</v>
      </c>
      <c r="T480" s="219">
        <f t="shared" ref="T480:T547" si="130">J480*Z480*60*AL480</f>
        <v>309.096</v>
      </c>
      <c r="U480" s="219">
        <f t="shared" ref="U480:U547" si="131">J480*Z480*60*AT480</f>
        <v>0.79700590290162454</v>
      </c>
      <c r="V480" s="188">
        <f t="shared" ref="V480:V547" si="132">J480*Z480*60*AX480</f>
        <v>2059403368300363.5</v>
      </c>
      <c r="W480" s="323">
        <v>2.496</v>
      </c>
      <c r="X480" s="323">
        <v>1.9990000000000001</v>
      </c>
      <c r="Y480" s="323">
        <v>0.66300000000000003</v>
      </c>
      <c r="Z480" s="323">
        <v>0.21199999999999999</v>
      </c>
      <c r="AA480" s="323">
        <v>22.5</v>
      </c>
      <c r="AB480" s="323">
        <v>18</v>
      </c>
      <c r="AC480" s="323">
        <v>11.1</v>
      </c>
      <c r="AD480" s="323">
        <v>4.3</v>
      </c>
      <c r="AE480" s="323">
        <v>0</v>
      </c>
      <c r="AF480" s="323">
        <v>0</v>
      </c>
      <c r="AG480" s="323">
        <v>0</v>
      </c>
      <c r="AH480" s="323">
        <v>1.7</v>
      </c>
      <c r="AI480" s="323">
        <v>0.2</v>
      </c>
      <c r="AJ480" s="323">
        <v>0.3</v>
      </c>
      <c r="AK480" s="323">
        <v>3.8</v>
      </c>
      <c r="AL480" s="323">
        <v>24.3</v>
      </c>
      <c r="AM480" s="323">
        <v>6.7635821280363315E-2</v>
      </c>
      <c r="AN480" s="323">
        <v>6.2928702137997478E-2</v>
      </c>
      <c r="AO480" s="323">
        <v>4.1808593017157525E-3</v>
      </c>
      <c r="AP480" s="323">
        <v>3.2086967689956432E-3</v>
      </c>
      <c r="AQ480" s="323">
        <v>0.11659582128036333</v>
      </c>
      <c r="AR480" s="323">
        <v>0.11188870213799748</v>
      </c>
      <c r="AS480" s="323">
        <v>5.3140859301715748E-2</v>
      </c>
      <c r="AT480" s="323">
        <v>6.2657696768995644E-2</v>
      </c>
      <c r="AU480" s="190">
        <v>426591709845852.13</v>
      </c>
      <c r="AV480" s="190">
        <v>396903033558972</v>
      </c>
      <c r="AW480" s="190">
        <v>210955660403776.84</v>
      </c>
      <c r="AX480" s="190">
        <v>161902780526758.16</v>
      </c>
      <c r="AY480" s="203">
        <v>10.3</v>
      </c>
      <c r="AZ480" s="239">
        <v>258</v>
      </c>
      <c r="BA480" s="203">
        <v>1999</v>
      </c>
      <c r="BB480" s="204">
        <v>37411</v>
      </c>
      <c r="BC480" s="203" t="s">
        <v>1793</v>
      </c>
    </row>
    <row r="481" spans="1:55" x14ac:dyDescent="0.2">
      <c r="A481" s="184" t="s">
        <v>1997</v>
      </c>
      <c r="B481" s="184" t="s">
        <v>1996</v>
      </c>
      <c r="C481" s="184" t="s">
        <v>723</v>
      </c>
      <c r="D481" s="185" t="s">
        <v>1043</v>
      </c>
      <c r="E481" s="184" t="s">
        <v>1998</v>
      </c>
      <c r="F481" s="184" t="s">
        <v>1998</v>
      </c>
      <c r="G481" s="186">
        <f>IF(ALECA_Input!$F$13="ICAO (3000ft)",'Aircraft Calc'!C$211,'Aircraft Calc'!G$211)</f>
        <v>0.7</v>
      </c>
      <c r="H481" s="186">
        <f>IF(ALECA_Input!$F$13="ICAO (3000ft)",'Aircraft Calc'!D$211,'Aircraft Calc'!H$211)</f>
        <v>2.2000000000000002</v>
      </c>
      <c r="I481" s="186">
        <f>IF(ALECA_Input!$F$13="ICAO (3000ft)",'Aircraft Calc'!E$211,'Aircraft Calc'!I$211)</f>
        <v>4</v>
      </c>
      <c r="J481" s="189">
        <v>1</v>
      </c>
      <c r="K481" s="187">
        <f t="shared" si="121"/>
        <v>519.63</v>
      </c>
      <c r="L481" s="187">
        <f t="shared" si="122"/>
        <v>11.576836200000001</v>
      </c>
      <c r="M481" s="187">
        <f t="shared" si="123"/>
        <v>9.4588020000000009E-2</v>
      </c>
      <c r="N481" s="187">
        <f t="shared" si="124"/>
        <v>0.18458952000000003</v>
      </c>
      <c r="O481" s="187">
        <f t="shared" si="125"/>
        <v>7.1759657996454285E-2</v>
      </c>
      <c r="P481" s="188">
        <f t="shared" si="126"/>
        <v>6.4435171230722048E+17</v>
      </c>
      <c r="Q481" s="187">
        <f t="shared" si="127"/>
        <v>11280</v>
      </c>
      <c r="R481" s="219">
        <f t="shared" si="128"/>
        <v>56.4</v>
      </c>
      <c r="S481" s="219">
        <f t="shared" si="129"/>
        <v>7.4447999999999999</v>
      </c>
      <c r="T481" s="219">
        <f t="shared" si="130"/>
        <v>130.84799999999998</v>
      </c>
      <c r="U481" s="219">
        <f t="shared" si="131"/>
        <v>1.4271438215097549</v>
      </c>
      <c r="V481" s="188">
        <f t="shared" si="132"/>
        <v>4.1826261122696336E+16</v>
      </c>
      <c r="W481" s="323">
        <v>2.4489999999999998</v>
      </c>
      <c r="X481" s="323">
        <v>1.9810000000000001</v>
      </c>
      <c r="Y481" s="323">
        <v>0.64700000000000002</v>
      </c>
      <c r="Z481" s="323">
        <v>0.188</v>
      </c>
      <c r="AA481" s="323">
        <v>32.5</v>
      </c>
      <c r="AB481" s="323">
        <v>24.6</v>
      </c>
      <c r="AC481" s="323">
        <v>11.6</v>
      </c>
      <c r="AD481" s="323">
        <v>5</v>
      </c>
      <c r="AE481" s="323">
        <v>0.11</v>
      </c>
      <c r="AF481" s="323">
        <v>0.17</v>
      </c>
      <c r="AG481" s="323">
        <v>0.25</v>
      </c>
      <c r="AH481" s="323">
        <v>0.66</v>
      </c>
      <c r="AI481" s="323">
        <v>0.08</v>
      </c>
      <c r="AJ481" s="323">
        <v>0.14000000000000001</v>
      </c>
      <c r="AK481" s="323">
        <v>0.9</v>
      </c>
      <c r="AL481" s="323">
        <v>11.6</v>
      </c>
      <c r="AM481" s="323">
        <v>8.2769458649206054E-2</v>
      </c>
      <c r="AN481" s="323">
        <v>8.4070595207834733E-2</v>
      </c>
      <c r="AO481" s="323">
        <v>5.7689520843811987E-2</v>
      </c>
      <c r="AP481" s="323">
        <v>7.3487642332425052E-2</v>
      </c>
      <c r="AQ481" s="323">
        <v>0.14437945864920604</v>
      </c>
      <c r="AR481" s="323">
        <v>0.14595059520783471</v>
      </c>
      <c r="AS481" s="323">
        <v>0.120712020843812</v>
      </c>
      <c r="AT481" s="323">
        <v>0.12651984233242508</v>
      </c>
      <c r="AU481" s="190">
        <v>522042376654507.31</v>
      </c>
      <c r="AV481" s="190">
        <v>530248887032899.13</v>
      </c>
      <c r="AW481" s="190">
        <v>2910868338235988.5</v>
      </c>
      <c r="AX481" s="190">
        <v>3708001872579462.5</v>
      </c>
      <c r="AY481" s="203">
        <v>13</v>
      </c>
      <c r="AZ481" s="239">
        <v>252.4</v>
      </c>
      <c r="BA481" s="203">
        <v>1986</v>
      </c>
      <c r="BB481" s="204">
        <v>39296</v>
      </c>
      <c r="BC481" s="203" t="s">
        <v>3102</v>
      </c>
    </row>
    <row r="482" spans="1:55" x14ac:dyDescent="0.2">
      <c r="A482" s="184" t="s">
        <v>2000</v>
      </c>
      <c r="B482" s="184" t="s">
        <v>1999</v>
      </c>
      <c r="C482" s="184" t="s">
        <v>723</v>
      </c>
      <c r="D482" s="185" t="s">
        <v>1043</v>
      </c>
      <c r="E482" s="184" t="s">
        <v>1917</v>
      </c>
      <c r="F482" s="184" t="s">
        <v>1917</v>
      </c>
      <c r="G482" s="186">
        <f>IF(ALECA_Input!$F$13="ICAO (3000ft)",'Aircraft Calc'!C$211,'Aircraft Calc'!G$211)</f>
        <v>0.7</v>
      </c>
      <c r="H482" s="186">
        <f>IF(ALECA_Input!$F$13="ICAO (3000ft)",'Aircraft Calc'!D$211,'Aircraft Calc'!H$211)</f>
        <v>2.2000000000000002</v>
      </c>
      <c r="I482" s="186">
        <f>IF(ALECA_Input!$F$13="ICAO (3000ft)",'Aircraft Calc'!E$211,'Aircraft Calc'!I$211)</f>
        <v>4</v>
      </c>
      <c r="J482" s="189">
        <v>1</v>
      </c>
      <c r="K482" s="187">
        <f t="shared" si="121"/>
        <v>348.42599999999999</v>
      </c>
      <c r="L482" s="187">
        <f t="shared" si="122"/>
        <v>7.1481240599999998</v>
      </c>
      <c r="M482" s="187">
        <f t="shared" si="123"/>
        <v>1.6861319999999999E-2</v>
      </c>
      <c r="N482" s="187">
        <f t="shared" si="124"/>
        <v>0.29477621999999998</v>
      </c>
      <c r="O482" s="187">
        <f t="shared" si="125"/>
        <v>3.7451210236295607E-2</v>
      </c>
      <c r="P482" s="188">
        <f t="shared" si="126"/>
        <v>2.9635859109991482E+17</v>
      </c>
      <c r="Q482" s="187">
        <f t="shared" si="127"/>
        <v>9120</v>
      </c>
      <c r="R482" s="219">
        <f t="shared" si="128"/>
        <v>37.391999999999996</v>
      </c>
      <c r="S482" s="219">
        <f t="shared" si="129"/>
        <v>17.510399999999997</v>
      </c>
      <c r="T482" s="219">
        <f t="shared" si="130"/>
        <v>203.92319999999998</v>
      </c>
      <c r="U482" s="219">
        <f t="shared" si="131"/>
        <v>0.97262481476169393</v>
      </c>
      <c r="V482" s="188">
        <f t="shared" si="132"/>
        <v>2.109478478640066E+16</v>
      </c>
      <c r="W482" s="323">
        <v>1.571</v>
      </c>
      <c r="X482" s="323">
        <v>1.3069999999999999</v>
      </c>
      <c r="Y482" s="323">
        <v>0.45800000000000002</v>
      </c>
      <c r="Z482" s="323">
        <v>0.152</v>
      </c>
      <c r="AA482" s="323">
        <v>29.41</v>
      </c>
      <c r="AB482" s="323">
        <v>23.96</v>
      </c>
      <c r="AC482" s="323">
        <v>9.77</v>
      </c>
      <c r="AD482" s="323">
        <v>4.0999999999999996</v>
      </c>
      <c r="AE482" s="323">
        <v>0.02</v>
      </c>
      <c r="AF482" s="323">
        <v>0.02</v>
      </c>
      <c r="AG482" s="323">
        <v>0.11</v>
      </c>
      <c r="AH482" s="323">
        <v>1.92</v>
      </c>
      <c r="AI482" s="323">
        <v>0.33</v>
      </c>
      <c r="AJ482" s="323">
        <v>0.34</v>
      </c>
      <c r="AK482" s="323">
        <v>1.95</v>
      </c>
      <c r="AL482" s="323">
        <v>22.36</v>
      </c>
      <c r="AM482" s="323">
        <v>6.2301816710476257E-2</v>
      </c>
      <c r="AN482" s="323">
        <v>6.5102450445760532E-2</v>
      </c>
      <c r="AO482" s="323">
        <v>3.5986304270383684E-2</v>
      </c>
      <c r="AP482" s="323">
        <v>4.5841057758957658E-2</v>
      </c>
      <c r="AQ482" s="323">
        <v>0.11356181671047626</v>
      </c>
      <c r="AR482" s="323">
        <v>0.11558245044576054</v>
      </c>
      <c r="AS482" s="323">
        <v>9.1133804270383673E-2</v>
      </c>
      <c r="AT482" s="323">
        <v>0.10664745775895768</v>
      </c>
      <c r="AU482" s="190">
        <v>392949150522715.25</v>
      </c>
      <c r="AV482" s="190">
        <v>410613268606452.63</v>
      </c>
      <c r="AW482" s="190">
        <v>1815778536181453.8</v>
      </c>
      <c r="AX482" s="190">
        <v>2313024647631651.5</v>
      </c>
      <c r="AY482" s="203">
        <v>8.1</v>
      </c>
      <c r="AZ482" s="239">
        <v>166.35</v>
      </c>
      <c r="BA482" s="203">
        <v>1983</v>
      </c>
      <c r="BB482" s="204">
        <v>37448</v>
      </c>
      <c r="BC482" s="203" t="s">
        <v>1109</v>
      </c>
    </row>
    <row r="483" spans="1:55" x14ac:dyDescent="0.2">
      <c r="A483" s="184" t="s">
        <v>2002</v>
      </c>
      <c r="B483" s="184" t="s">
        <v>2001</v>
      </c>
      <c r="C483" s="184" t="s">
        <v>723</v>
      </c>
      <c r="D483" s="185" t="s">
        <v>1043</v>
      </c>
      <c r="E483" s="184" t="s">
        <v>1918</v>
      </c>
      <c r="F483" s="184" t="s">
        <v>1918</v>
      </c>
      <c r="G483" s="186">
        <f>IF(ALECA_Input!$F$13="ICAO (3000ft)",'Aircraft Calc'!C$211,'Aircraft Calc'!G$211)</f>
        <v>0.7</v>
      </c>
      <c r="H483" s="186">
        <f>IF(ALECA_Input!$F$13="ICAO (3000ft)",'Aircraft Calc'!D$211,'Aircraft Calc'!H$211)</f>
        <v>2.2000000000000002</v>
      </c>
      <c r="I483" s="186">
        <f>IF(ALECA_Input!$F$13="ICAO (3000ft)",'Aircraft Calc'!E$211,'Aircraft Calc'!I$211)</f>
        <v>4</v>
      </c>
      <c r="J483" s="189">
        <v>1</v>
      </c>
      <c r="K483" s="187">
        <f t="shared" si="121"/>
        <v>383.36400000000003</v>
      </c>
      <c r="L483" s="187">
        <f t="shared" si="122"/>
        <v>8.9046117600000017</v>
      </c>
      <c r="M483" s="187">
        <f t="shared" si="123"/>
        <v>1.645464E-2</v>
      </c>
      <c r="N483" s="187">
        <f t="shared" si="124"/>
        <v>0.27078708000000001</v>
      </c>
      <c r="O483" s="187">
        <f t="shared" si="125"/>
        <v>4.1480798283169425E-2</v>
      </c>
      <c r="P483" s="188">
        <f t="shared" si="126"/>
        <v>3.3211069544129312E+17</v>
      </c>
      <c r="Q483" s="187">
        <f t="shared" si="127"/>
        <v>9540.0000000000018</v>
      </c>
      <c r="R483" s="219">
        <f t="shared" si="128"/>
        <v>41.689800000000005</v>
      </c>
      <c r="S483" s="219">
        <f t="shared" si="129"/>
        <v>15.741000000000003</v>
      </c>
      <c r="T483" s="219">
        <f t="shared" si="130"/>
        <v>190.32300000000001</v>
      </c>
      <c r="U483" s="219">
        <f t="shared" si="131"/>
        <v>1.0161386769429412</v>
      </c>
      <c r="V483" s="188">
        <f t="shared" si="132"/>
        <v>2.2803671954181164E+16</v>
      </c>
      <c r="W483" s="323">
        <v>1.752</v>
      </c>
      <c r="X483" s="323">
        <v>1.4450000000000001</v>
      </c>
      <c r="Y483" s="323">
        <v>0.496</v>
      </c>
      <c r="Z483" s="323">
        <v>0.159</v>
      </c>
      <c r="AA483" s="323">
        <v>35.04</v>
      </c>
      <c r="AB483" s="323">
        <v>26.62</v>
      </c>
      <c r="AC483" s="323">
        <v>10.49</v>
      </c>
      <c r="AD483" s="323">
        <v>4.37</v>
      </c>
      <c r="AE483" s="323">
        <v>0.01</v>
      </c>
      <c r="AF483" s="323">
        <v>0.02</v>
      </c>
      <c r="AG483" s="323">
        <v>0.1</v>
      </c>
      <c r="AH483" s="323">
        <v>1.6500000000000001</v>
      </c>
      <c r="AI483" s="323">
        <v>0.32</v>
      </c>
      <c r="AJ483" s="323">
        <v>0.41000000000000003</v>
      </c>
      <c r="AK483" s="323">
        <v>1.42</v>
      </c>
      <c r="AL483" s="323">
        <v>19.95</v>
      </c>
      <c r="AM483" s="323">
        <v>6.3239730743070335E-2</v>
      </c>
      <c r="AN483" s="323">
        <v>6.5989046784077701E-2</v>
      </c>
      <c r="AO483" s="323">
        <v>3.7188905515594395E-2</v>
      </c>
      <c r="AP483" s="323">
        <v>4.7372988149155248E-2</v>
      </c>
      <c r="AQ483" s="323">
        <v>0.11334973074307034</v>
      </c>
      <c r="AR483" s="323">
        <v>0.11646904678407771</v>
      </c>
      <c r="AS483" s="323">
        <v>9.1773905515594403E-2</v>
      </c>
      <c r="AT483" s="323">
        <v>0.10651348814915525</v>
      </c>
      <c r="AU483" s="190">
        <v>398864748844412.44</v>
      </c>
      <c r="AV483" s="190">
        <v>416205196681636.69</v>
      </c>
      <c r="AW483" s="190">
        <v>1876458774758656.8</v>
      </c>
      <c r="AX483" s="190">
        <v>2390322007775803</v>
      </c>
      <c r="AY483" s="203">
        <v>10</v>
      </c>
      <c r="AZ483" s="239">
        <v>182.02</v>
      </c>
      <c r="BA483" s="203">
        <v>1983</v>
      </c>
      <c r="BB483" s="204">
        <v>37448</v>
      </c>
      <c r="BC483" s="203" t="s">
        <v>1109</v>
      </c>
    </row>
    <row r="484" spans="1:55" x14ac:dyDescent="0.2">
      <c r="A484" s="184" t="s">
        <v>2004</v>
      </c>
      <c r="B484" s="184" t="s">
        <v>2003</v>
      </c>
      <c r="C484" s="184" t="s">
        <v>723</v>
      </c>
      <c r="D484" s="185" t="s">
        <v>1043</v>
      </c>
      <c r="E484" s="184" t="s">
        <v>1923</v>
      </c>
      <c r="F484" s="184" t="s">
        <v>1923</v>
      </c>
      <c r="G484" s="186">
        <f>IF(ALECA_Input!$F$13="ICAO (3000ft)",'Aircraft Calc'!C$211,'Aircraft Calc'!G$211)</f>
        <v>0.7</v>
      </c>
      <c r="H484" s="186">
        <f>IF(ALECA_Input!$F$13="ICAO (3000ft)",'Aircraft Calc'!D$211,'Aircraft Calc'!H$211)</f>
        <v>2.2000000000000002</v>
      </c>
      <c r="I484" s="186">
        <f>IF(ALECA_Input!$F$13="ICAO (3000ft)",'Aircraft Calc'!E$211,'Aircraft Calc'!I$211)</f>
        <v>4</v>
      </c>
      <c r="J484" s="189">
        <v>1</v>
      </c>
      <c r="K484" s="187">
        <f t="shared" si="121"/>
        <v>637.16999999999996</v>
      </c>
      <c r="L484" s="187">
        <f t="shared" si="122"/>
        <v>18.550944060000003</v>
      </c>
      <c r="M484" s="187">
        <f t="shared" si="123"/>
        <v>3.5213340000000003E-2</v>
      </c>
      <c r="N484" s="187">
        <f t="shared" si="124"/>
        <v>0.23263134000000002</v>
      </c>
      <c r="O484" s="187">
        <f t="shared" si="125"/>
        <v>4.4579790269863105E-2</v>
      </c>
      <c r="P484" s="188">
        <f t="shared" si="126"/>
        <v>1.2764586890754234E+17</v>
      </c>
      <c r="Q484" s="187">
        <f t="shared" si="127"/>
        <v>14340</v>
      </c>
      <c r="R484" s="219">
        <f t="shared" si="128"/>
        <v>54.635399999999997</v>
      </c>
      <c r="S484" s="219">
        <f t="shared" si="129"/>
        <v>72.703800000000001</v>
      </c>
      <c r="T484" s="219">
        <f t="shared" si="130"/>
        <v>492.43560000000002</v>
      </c>
      <c r="U484" s="219">
        <f t="shared" si="131"/>
        <v>1.2764246581405276</v>
      </c>
      <c r="V484" s="188">
        <f t="shared" si="132"/>
        <v>6345322452930035</v>
      </c>
      <c r="W484" s="323">
        <v>2.9489999999999998</v>
      </c>
      <c r="X484" s="323">
        <v>2.4159999999999999</v>
      </c>
      <c r="Y484" s="323">
        <v>0.81</v>
      </c>
      <c r="Z484" s="323">
        <v>0.23899999999999999</v>
      </c>
      <c r="AA484" s="323">
        <v>42.35</v>
      </c>
      <c r="AB484" s="323">
        <v>34.480000000000004</v>
      </c>
      <c r="AC484" s="323">
        <v>11.88</v>
      </c>
      <c r="AD484" s="323">
        <v>3.81</v>
      </c>
      <c r="AE484" s="323">
        <v>0.03</v>
      </c>
      <c r="AF484" s="323">
        <v>0.05</v>
      </c>
      <c r="AG484" s="323">
        <v>0.08</v>
      </c>
      <c r="AH484" s="323">
        <v>5.07</v>
      </c>
      <c r="AI484" s="323">
        <v>0.23</v>
      </c>
      <c r="AJ484" s="323">
        <v>0.25</v>
      </c>
      <c r="AK484" s="323">
        <v>0.64</v>
      </c>
      <c r="AL484" s="323">
        <v>34.340000000000003</v>
      </c>
      <c r="AM484" s="323">
        <v>2.2456995902122946E-2</v>
      </c>
      <c r="AN484" s="323">
        <v>2.1166276196388178E-2</v>
      </c>
      <c r="AO484" s="323">
        <v>6.8843276598529101E-3</v>
      </c>
      <c r="AP484" s="323">
        <v>8.7695824365779541E-3</v>
      </c>
      <c r="AQ484" s="323">
        <v>7.4866995902122951E-2</v>
      </c>
      <c r="AR484" s="323">
        <v>7.3926276196388196E-2</v>
      </c>
      <c r="AS484" s="323">
        <v>6.0344327659852919E-2</v>
      </c>
      <c r="AT484" s="323">
        <v>8.9011482436577943E-2</v>
      </c>
      <c r="AU484" s="190">
        <v>141640451738985.13</v>
      </c>
      <c r="AV484" s="190">
        <v>133499642390064.14</v>
      </c>
      <c r="AW484" s="190">
        <v>347365884167463.94</v>
      </c>
      <c r="AX484" s="190">
        <v>442491105504186.56</v>
      </c>
      <c r="AY484" s="203">
        <v>20</v>
      </c>
      <c r="AZ484" s="239">
        <v>333.2</v>
      </c>
      <c r="BA484" s="203">
        <v>1996</v>
      </c>
      <c r="BB484" s="204">
        <v>39296</v>
      </c>
      <c r="BC484" s="203" t="s">
        <v>3102</v>
      </c>
    </row>
    <row r="485" spans="1:55" x14ac:dyDescent="0.2">
      <c r="A485" s="184" t="s">
        <v>2006</v>
      </c>
      <c r="B485" s="184" t="s">
        <v>2005</v>
      </c>
      <c r="C485" s="184" t="s">
        <v>723</v>
      </c>
      <c r="D485" s="185" t="s">
        <v>1043</v>
      </c>
      <c r="E485" s="184" t="s">
        <v>1928</v>
      </c>
      <c r="F485" s="184" t="s">
        <v>1928</v>
      </c>
      <c r="G485" s="186">
        <f>IF(ALECA_Input!$F$13="ICAO (3000ft)",'Aircraft Calc'!C$211,'Aircraft Calc'!G$211)</f>
        <v>0.7</v>
      </c>
      <c r="H485" s="186">
        <f>IF(ALECA_Input!$F$13="ICAO (3000ft)",'Aircraft Calc'!D$211,'Aircraft Calc'!H$211)</f>
        <v>2.2000000000000002</v>
      </c>
      <c r="I485" s="186">
        <f>IF(ALECA_Input!$F$13="ICAO (3000ft)",'Aircraft Calc'!E$211,'Aircraft Calc'!I$211)</f>
        <v>4</v>
      </c>
      <c r="J485" s="189">
        <v>1</v>
      </c>
      <c r="K485" s="187">
        <f t="shared" si="121"/>
        <v>660.76800000000003</v>
      </c>
      <c r="L485" s="187">
        <f t="shared" si="122"/>
        <v>20.069862239999999</v>
      </c>
      <c r="M485" s="187">
        <f t="shared" si="123"/>
        <v>3.114828E-2</v>
      </c>
      <c r="N485" s="187">
        <f t="shared" si="124"/>
        <v>0.23144867999999996</v>
      </c>
      <c r="O485" s="187">
        <f t="shared" si="125"/>
        <v>4.8083996691566704E-2</v>
      </c>
      <c r="P485" s="188">
        <f t="shared" si="126"/>
        <v>1.5315117959256499E+17</v>
      </c>
      <c r="Q485" s="187">
        <f t="shared" si="127"/>
        <v>14640</v>
      </c>
      <c r="R485" s="219">
        <f t="shared" si="128"/>
        <v>56.071200000000005</v>
      </c>
      <c r="S485" s="219">
        <f t="shared" si="129"/>
        <v>68.222400000000007</v>
      </c>
      <c r="T485" s="219">
        <f t="shared" si="130"/>
        <v>477.55679999999995</v>
      </c>
      <c r="U485" s="219">
        <f t="shared" si="131"/>
        <v>1.2811629440325407</v>
      </c>
      <c r="V485" s="188">
        <f t="shared" si="132"/>
        <v>7238446434787063</v>
      </c>
      <c r="W485" s="323">
        <v>3.0819999999999999</v>
      </c>
      <c r="X485" s="323">
        <v>2.5070000000000001</v>
      </c>
      <c r="Y485" s="323">
        <v>0.83499999999999996</v>
      </c>
      <c r="Z485" s="323">
        <v>0.24399999999999999</v>
      </c>
      <c r="AA485" s="323">
        <v>44.74</v>
      </c>
      <c r="AB485" s="323">
        <v>35.82</v>
      </c>
      <c r="AC485" s="323">
        <v>12.1</v>
      </c>
      <c r="AD485" s="323">
        <v>3.83</v>
      </c>
      <c r="AE485" s="323">
        <v>0.03</v>
      </c>
      <c r="AF485" s="323">
        <v>0.04</v>
      </c>
      <c r="AG485" s="323">
        <v>7.0000000000000007E-2</v>
      </c>
      <c r="AH485" s="323">
        <v>4.66</v>
      </c>
      <c r="AI485" s="323">
        <v>0.22</v>
      </c>
      <c r="AJ485" s="323">
        <v>0.25</v>
      </c>
      <c r="AK485" s="323">
        <v>0.6</v>
      </c>
      <c r="AL485" s="323">
        <v>32.619999999999997</v>
      </c>
      <c r="AM485" s="323">
        <v>2.6776620565540987E-2</v>
      </c>
      <c r="AN485" s="323">
        <v>2.5635801247134594E-2</v>
      </c>
      <c r="AO485" s="323">
        <v>7.6923896565571073E-3</v>
      </c>
      <c r="AP485" s="323">
        <v>9.7989300568675237E-3</v>
      </c>
      <c r="AQ485" s="323">
        <v>7.9186620565540988E-2</v>
      </c>
      <c r="AR485" s="323">
        <v>7.7635801247134595E-2</v>
      </c>
      <c r="AS485" s="323">
        <v>6.0589889656557108E-2</v>
      </c>
      <c r="AT485" s="323">
        <v>8.7511130056867531E-2</v>
      </c>
      <c r="AU485" s="190">
        <v>168885128245852.78</v>
      </c>
      <c r="AV485" s="190">
        <v>161689768531850.84</v>
      </c>
      <c r="AW485" s="190">
        <v>388138663125122.81</v>
      </c>
      <c r="AX485" s="190">
        <v>494429401283269.31</v>
      </c>
      <c r="AY485" s="203">
        <v>21.5</v>
      </c>
      <c r="AZ485" s="239">
        <v>343</v>
      </c>
      <c r="BA485" s="203">
        <v>1996</v>
      </c>
      <c r="BB485" s="204">
        <v>39296</v>
      </c>
      <c r="BC485" s="203" t="s">
        <v>1109</v>
      </c>
    </row>
    <row r="486" spans="1:55" x14ac:dyDescent="0.2">
      <c r="A486" s="184" t="s">
        <v>2008</v>
      </c>
      <c r="B486" s="184" t="s">
        <v>2007</v>
      </c>
      <c r="C486" s="184" t="s">
        <v>723</v>
      </c>
      <c r="D486" s="185" t="s">
        <v>1043</v>
      </c>
      <c r="E486" s="184" t="s">
        <v>1932</v>
      </c>
      <c r="F486" s="184" t="s">
        <v>1932</v>
      </c>
      <c r="G486" s="186">
        <f>IF(ALECA_Input!$F$13="ICAO (3000ft)",'Aircraft Calc'!C$211,'Aircraft Calc'!G$211)</f>
        <v>0.7</v>
      </c>
      <c r="H486" s="186">
        <f>IF(ALECA_Input!$F$13="ICAO (3000ft)",'Aircraft Calc'!D$211,'Aircraft Calc'!H$211)</f>
        <v>2.2000000000000002</v>
      </c>
      <c r="I486" s="186">
        <f>IF(ALECA_Input!$F$13="ICAO (3000ft)",'Aircraft Calc'!E$211,'Aircraft Calc'!I$211)</f>
        <v>4</v>
      </c>
      <c r="J486" s="189">
        <v>1</v>
      </c>
      <c r="K486" s="187">
        <f t="shared" si="121"/>
        <v>730.91399999999999</v>
      </c>
      <c r="L486" s="187">
        <f t="shared" si="122"/>
        <v>25.019992080000002</v>
      </c>
      <c r="M486" s="187">
        <f t="shared" si="123"/>
        <v>2.8457820000000002E-2</v>
      </c>
      <c r="N486" s="187">
        <f t="shared" si="124"/>
        <v>0.21881484000000001</v>
      </c>
      <c r="O486" s="187">
        <f t="shared" si="125"/>
        <v>6.1289241988743144E-2</v>
      </c>
      <c r="P486" s="188">
        <f t="shared" si="126"/>
        <v>2.6116940293345552E+17</v>
      </c>
      <c r="Q486" s="187">
        <f t="shared" si="127"/>
        <v>15480</v>
      </c>
      <c r="R486" s="219">
        <f t="shared" si="128"/>
        <v>63.1584</v>
      </c>
      <c r="S486" s="219">
        <f t="shared" si="129"/>
        <v>50.929200000000002</v>
      </c>
      <c r="T486" s="219">
        <f t="shared" si="130"/>
        <v>398.45520000000005</v>
      </c>
      <c r="U486" s="219">
        <f t="shared" si="131"/>
        <v>1.3048399707018699</v>
      </c>
      <c r="V486" s="188">
        <f t="shared" si="132"/>
        <v>1.1741760671920412E+16</v>
      </c>
      <c r="W486" s="323">
        <v>3.5110000000000001</v>
      </c>
      <c r="X486" s="323">
        <v>2.7709999999999999</v>
      </c>
      <c r="Y486" s="323">
        <v>0.90700000000000003</v>
      </c>
      <c r="Z486" s="323">
        <v>0.25800000000000001</v>
      </c>
      <c r="AA486" s="323">
        <v>53.02</v>
      </c>
      <c r="AB486" s="323">
        <v>39.47</v>
      </c>
      <c r="AC486" s="323">
        <v>12.700000000000001</v>
      </c>
      <c r="AD486" s="323">
        <v>4.08</v>
      </c>
      <c r="AE486" s="323">
        <v>0.03</v>
      </c>
      <c r="AF486" s="323">
        <v>0.03</v>
      </c>
      <c r="AG486" s="323">
        <v>0.06</v>
      </c>
      <c r="AH486" s="323">
        <v>3.29</v>
      </c>
      <c r="AI486" s="323">
        <v>0.18</v>
      </c>
      <c r="AJ486" s="323">
        <v>0.24</v>
      </c>
      <c r="AK486" s="323">
        <v>0.48</v>
      </c>
      <c r="AL486" s="323">
        <v>25.740000000000002</v>
      </c>
      <c r="AM486" s="323">
        <v>3.9794503340500303E-2</v>
      </c>
      <c r="AN486" s="323">
        <v>4.0979892196937484E-2</v>
      </c>
      <c r="AO486" s="323">
        <v>1.1801012075009476E-2</v>
      </c>
      <c r="AP486" s="323">
        <v>1.5032687771438617E-2</v>
      </c>
      <c r="AQ486" s="323">
        <v>9.2204503340500302E-2</v>
      </c>
      <c r="AR486" s="323">
        <v>9.2219892196937492E-2</v>
      </c>
      <c r="AS486" s="323">
        <v>6.4136012075009477E-2</v>
      </c>
      <c r="AT486" s="323">
        <v>8.429198777143862E-2</v>
      </c>
      <c r="AU486" s="190">
        <v>250991337151385.13</v>
      </c>
      <c r="AV486" s="190">
        <v>258467805234823.22</v>
      </c>
      <c r="AW486" s="190">
        <v>595449431817742.5</v>
      </c>
      <c r="AX486" s="190">
        <v>758511671312688.13</v>
      </c>
      <c r="AY486" s="203">
        <v>26.7</v>
      </c>
      <c r="AZ486" s="239">
        <v>369.6</v>
      </c>
      <c r="BA486" s="203">
        <v>1996</v>
      </c>
      <c r="BB486" s="204">
        <v>39296</v>
      </c>
      <c r="BC486" s="203" t="s">
        <v>1109</v>
      </c>
    </row>
    <row r="487" spans="1:55" x14ac:dyDescent="0.2">
      <c r="A487" s="184" t="s">
        <v>2010</v>
      </c>
      <c r="B487" s="184" t="s">
        <v>2009</v>
      </c>
      <c r="C487" s="184" t="s">
        <v>723</v>
      </c>
      <c r="D487" s="185" t="s">
        <v>1043</v>
      </c>
      <c r="E487" s="184" t="s">
        <v>1936</v>
      </c>
      <c r="F487" s="184" t="s">
        <v>1936</v>
      </c>
      <c r="G487" s="186">
        <f>IF(ALECA_Input!$F$13="ICAO (3000ft)",'Aircraft Calc'!C$211,'Aircraft Calc'!G$211)</f>
        <v>0.7</v>
      </c>
      <c r="H487" s="186">
        <f>IF(ALECA_Input!$F$13="ICAO (3000ft)",'Aircraft Calc'!D$211,'Aircraft Calc'!H$211)</f>
        <v>2.2000000000000002</v>
      </c>
      <c r="I487" s="186">
        <f>IF(ALECA_Input!$F$13="ICAO (3000ft)",'Aircraft Calc'!E$211,'Aircraft Calc'!I$211)</f>
        <v>4</v>
      </c>
      <c r="J487" s="189">
        <v>1</v>
      </c>
      <c r="K487" s="187">
        <f t="shared" si="121"/>
        <v>786.36</v>
      </c>
      <c r="L487" s="187">
        <f t="shared" si="122"/>
        <v>29.835014400000006</v>
      </c>
      <c r="M487" s="187">
        <f t="shared" si="123"/>
        <v>3.0481199999999993E-2</v>
      </c>
      <c r="N487" s="187">
        <f t="shared" si="124"/>
        <v>0.22254696000000002</v>
      </c>
      <c r="O487" s="187">
        <f t="shared" si="125"/>
        <v>7.2627595636699863E-2</v>
      </c>
      <c r="P487" s="188">
        <f t="shared" si="126"/>
        <v>3.8364303683599123E+17</v>
      </c>
      <c r="Q487" s="187">
        <f t="shared" si="127"/>
        <v>16080.000000000002</v>
      </c>
      <c r="R487" s="219">
        <f t="shared" si="128"/>
        <v>68.983200000000011</v>
      </c>
      <c r="S487" s="219">
        <f t="shared" si="129"/>
        <v>36.984000000000009</v>
      </c>
      <c r="T487" s="219">
        <f t="shared" si="130"/>
        <v>331.73040000000003</v>
      </c>
      <c r="U487" s="219">
        <f t="shared" si="131"/>
        <v>1.3841092589505077</v>
      </c>
      <c r="V487" s="188">
        <f t="shared" si="132"/>
        <v>1.860070807109366E+16</v>
      </c>
      <c r="W487" s="323">
        <v>3.8980000000000001</v>
      </c>
      <c r="X487" s="323">
        <v>2.9769999999999999</v>
      </c>
      <c r="Y487" s="323">
        <v>0.95699999999999996</v>
      </c>
      <c r="Z487" s="323">
        <v>0.26800000000000002</v>
      </c>
      <c r="AA487" s="323">
        <v>61</v>
      </c>
      <c r="AB487" s="323">
        <v>42.800000000000004</v>
      </c>
      <c r="AC487" s="323">
        <v>13.19</v>
      </c>
      <c r="AD487" s="323">
        <v>4.29</v>
      </c>
      <c r="AE487" s="323">
        <v>0.03</v>
      </c>
      <c r="AF487" s="323">
        <v>0.03</v>
      </c>
      <c r="AG487" s="323">
        <v>0.06</v>
      </c>
      <c r="AH487" s="323">
        <v>2.3000000000000003</v>
      </c>
      <c r="AI487" s="323">
        <v>0.19</v>
      </c>
      <c r="AJ487" s="323">
        <v>0.23</v>
      </c>
      <c r="AK487" s="323">
        <v>0.44</v>
      </c>
      <c r="AL487" s="323">
        <v>20.63</v>
      </c>
      <c r="AM487" s="323">
        <v>4.7881360637647842E-2</v>
      </c>
      <c r="AN487" s="323">
        <v>5.0689028097293212E-2</v>
      </c>
      <c r="AO487" s="323">
        <v>1.7997012544940742E-2</v>
      </c>
      <c r="AP487" s="323">
        <v>2.2925446452145996E-2</v>
      </c>
      <c r="AQ487" s="323">
        <v>0.10029136063764785</v>
      </c>
      <c r="AR487" s="323">
        <v>0.10192902809729321</v>
      </c>
      <c r="AS487" s="323">
        <v>7.0332012544940745E-2</v>
      </c>
      <c r="AT487" s="323">
        <v>8.6076446452145988E-2</v>
      </c>
      <c r="AU487" s="190">
        <v>301996650850017.69</v>
      </c>
      <c r="AV487" s="190">
        <v>319705131942069.06</v>
      </c>
      <c r="AW487" s="190">
        <v>908084054671484.25</v>
      </c>
      <c r="AX487" s="190">
        <v>1156760452182441.5</v>
      </c>
      <c r="AY487" s="203">
        <v>31.6</v>
      </c>
      <c r="AZ487" s="239">
        <v>395</v>
      </c>
      <c r="BA487" s="203">
        <v>1996</v>
      </c>
      <c r="BB487" s="204">
        <v>39296</v>
      </c>
      <c r="BC487" s="203" t="s">
        <v>1109</v>
      </c>
    </row>
    <row r="488" spans="1:55" x14ac:dyDescent="0.2">
      <c r="A488" s="184" t="s">
        <v>688</v>
      </c>
      <c r="B488" s="184" t="s">
        <v>2011</v>
      </c>
      <c r="C488" s="184" t="s">
        <v>723</v>
      </c>
      <c r="D488" s="185" t="s">
        <v>1043</v>
      </c>
      <c r="E488" s="184" t="s">
        <v>324</v>
      </c>
      <c r="F488" s="184" t="s">
        <v>324</v>
      </c>
      <c r="G488" s="186">
        <f>IF(ALECA_Input!$F$13="ICAO (3000ft)",'Aircraft Calc'!C$211,'Aircraft Calc'!G$211)</f>
        <v>0.7</v>
      </c>
      <c r="H488" s="186">
        <f>IF(ALECA_Input!$F$13="ICAO (3000ft)",'Aircraft Calc'!D$211,'Aircraft Calc'!H$211)</f>
        <v>2.2000000000000002</v>
      </c>
      <c r="I488" s="186">
        <f>IF(ALECA_Input!$F$13="ICAO (3000ft)",'Aircraft Calc'!E$211,'Aircraft Calc'!I$211)</f>
        <v>4</v>
      </c>
      <c r="J488" s="189">
        <v>1</v>
      </c>
      <c r="K488" s="187">
        <f t="shared" si="121"/>
        <v>555.11400000000003</v>
      </c>
      <c r="L488" s="187">
        <f t="shared" si="122"/>
        <v>12.469081199999998</v>
      </c>
      <c r="M488" s="187">
        <f t="shared" si="123"/>
        <v>4.2994800000000007E-2</v>
      </c>
      <c r="N488" s="187">
        <f t="shared" si="124"/>
        <v>0.48181817999999998</v>
      </c>
      <c r="O488" s="187">
        <f t="shared" si="125"/>
        <v>5.5630000166596076E-2</v>
      </c>
      <c r="P488" s="188">
        <f t="shared" si="126"/>
        <v>3.3488597054422733E+17</v>
      </c>
      <c r="Q488" s="187">
        <f t="shared" si="127"/>
        <v>12780</v>
      </c>
      <c r="R488" s="219">
        <f t="shared" si="128"/>
        <v>62.622</v>
      </c>
      <c r="S488" s="219">
        <f t="shared" si="129"/>
        <v>21.2148</v>
      </c>
      <c r="T488" s="219">
        <f t="shared" si="130"/>
        <v>259.68959999999998</v>
      </c>
      <c r="U488" s="219">
        <f t="shared" si="131"/>
        <v>1.140895563777228</v>
      </c>
      <c r="V488" s="188">
        <f t="shared" si="132"/>
        <v>1.9390381331440544E+16</v>
      </c>
      <c r="W488" s="323">
        <v>2.6469999999999998</v>
      </c>
      <c r="X488" s="323">
        <v>2.085</v>
      </c>
      <c r="Y488" s="323">
        <v>0.70299999999999996</v>
      </c>
      <c r="Z488" s="323">
        <v>0.21299999999999999</v>
      </c>
      <c r="AA488" s="323">
        <v>32.799999999999997</v>
      </c>
      <c r="AB488" s="323">
        <v>24.7</v>
      </c>
      <c r="AC488" s="323">
        <v>12</v>
      </c>
      <c r="AD488" s="323">
        <v>4.9000000000000004</v>
      </c>
      <c r="AE488" s="323">
        <v>0.1</v>
      </c>
      <c r="AF488" s="323">
        <v>0.03</v>
      </c>
      <c r="AG488" s="323">
        <v>0.14000000000000001</v>
      </c>
      <c r="AH488" s="323">
        <v>1.6600000000000001</v>
      </c>
      <c r="AI488" s="323">
        <v>0.37</v>
      </c>
      <c r="AJ488" s="323">
        <v>0.51</v>
      </c>
      <c r="AK488" s="323">
        <v>1.78</v>
      </c>
      <c r="AL488" s="323">
        <v>20.32</v>
      </c>
      <c r="AM488" s="323">
        <v>5.2763953879490864E-2</v>
      </c>
      <c r="AN488" s="323">
        <v>5.583988433592485E-2</v>
      </c>
      <c r="AO488" s="323">
        <v>2.3605460828972958E-2</v>
      </c>
      <c r="AP488" s="323">
        <v>3.0069753347200946E-2</v>
      </c>
      <c r="AQ488" s="323">
        <v>0.11322395387949087</v>
      </c>
      <c r="AR488" s="323">
        <v>0.10707988433592486</v>
      </c>
      <c r="AS488" s="323">
        <v>8.0440460828972965E-2</v>
      </c>
      <c r="AT488" s="323">
        <v>8.927195334720095E-2</v>
      </c>
      <c r="AU488" s="190">
        <v>332792074932852.56</v>
      </c>
      <c r="AV488" s="190">
        <v>352192540661477.69</v>
      </c>
      <c r="AW488" s="190">
        <v>1191072269824505</v>
      </c>
      <c r="AX488" s="190">
        <v>1517244235636975.3</v>
      </c>
      <c r="AY488" s="203">
        <v>14.1</v>
      </c>
      <c r="AZ488" s="239">
        <v>266.89999999999998</v>
      </c>
      <c r="BA488" s="203">
        <v>1987</v>
      </c>
      <c r="BB488" s="204">
        <v>39296</v>
      </c>
      <c r="BC488" s="203" t="s">
        <v>3102</v>
      </c>
    </row>
    <row r="489" spans="1:55" x14ac:dyDescent="0.2">
      <c r="A489" s="184" t="s">
        <v>2013</v>
      </c>
      <c r="B489" s="184" t="s">
        <v>2012</v>
      </c>
      <c r="C489" s="184" t="s">
        <v>723</v>
      </c>
      <c r="D489" s="185" t="s">
        <v>1043</v>
      </c>
      <c r="E489" s="184" t="s">
        <v>2014</v>
      </c>
      <c r="F489" s="184" t="s">
        <v>2014</v>
      </c>
      <c r="G489" s="186">
        <f>IF(ALECA_Input!$F$13="ICAO (3000ft)",'Aircraft Calc'!C$211,'Aircraft Calc'!G$211)</f>
        <v>0.7</v>
      </c>
      <c r="H489" s="186">
        <f>IF(ALECA_Input!$F$13="ICAO (3000ft)",'Aircraft Calc'!D$211,'Aircraft Calc'!H$211)</f>
        <v>2.2000000000000002</v>
      </c>
      <c r="I489" s="186">
        <f>IF(ALECA_Input!$F$13="ICAO (3000ft)",'Aircraft Calc'!E$211,'Aircraft Calc'!I$211)</f>
        <v>4</v>
      </c>
      <c r="J489" s="189">
        <v>1</v>
      </c>
      <c r="K489" s="187">
        <f t="shared" si="121"/>
        <v>579.28800000000001</v>
      </c>
      <c r="L489" s="187">
        <f t="shared" si="122"/>
        <v>13.811083200000001</v>
      </c>
      <c r="M489" s="187">
        <f t="shared" si="123"/>
        <v>5.3478720000000007E-2</v>
      </c>
      <c r="N489" s="187">
        <f t="shared" si="124"/>
        <v>0.47584608</v>
      </c>
      <c r="O489" s="187">
        <f t="shared" si="125"/>
        <v>5.9038540538324399E-2</v>
      </c>
      <c r="P489" s="188">
        <f t="shared" si="126"/>
        <v>3.5319557929281952E+17</v>
      </c>
      <c r="Q489" s="187">
        <f t="shared" si="127"/>
        <v>13020</v>
      </c>
      <c r="R489" s="219">
        <f t="shared" si="128"/>
        <v>63.798000000000002</v>
      </c>
      <c r="S489" s="219">
        <f t="shared" si="129"/>
        <v>19.9206</v>
      </c>
      <c r="T489" s="219">
        <f t="shared" si="130"/>
        <v>254.02020000000002</v>
      </c>
      <c r="U489" s="219">
        <f t="shared" si="131"/>
        <v>1.1603510320844574</v>
      </c>
      <c r="V489" s="188">
        <f t="shared" si="132"/>
        <v>2.0182073571522604E+16</v>
      </c>
      <c r="W489" s="323">
        <v>2.8580000000000001</v>
      </c>
      <c r="X489" s="323">
        <v>2.161</v>
      </c>
      <c r="Y489" s="323">
        <v>0.72499999999999998</v>
      </c>
      <c r="Z489" s="323">
        <v>0.217</v>
      </c>
      <c r="AA489" s="323">
        <v>36.300000000000004</v>
      </c>
      <c r="AB489" s="323">
        <v>25.7</v>
      </c>
      <c r="AC489" s="323">
        <v>12.200000000000001</v>
      </c>
      <c r="AD489" s="323">
        <v>4.9000000000000004</v>
      </c>
      <c r="AE489" s="323">
        <v>0.1</v>
      </c>
      <c r="AF489" s="323">
        <v>0.06</v>
      </c>
      <c r="AG489" s="323">
        <v>0.14000000000000001</v>
      </c>
      <c r="AH489" s="323">
        <v>1.53</v>
      </c>
      <c r="AI489" s="323">
        <v>0.35000000000000003</v>
      </c>
      <c r="AJ489" s="323">
        <v>0.49</v>
      </c>
      <c r="AK489" s="323">
        <v>1.69</v>
      </c>
      <c r="AL489" s="323">
        <v>19.510000000000002</v>
      </c>
      <c r="AM489" s="323">
        <v>5.3173273629737262E-2</v>
      </c>
      <c r="AN489" s="323">
        <v>5.6252832369652638E-2</v>
      </c>
      <c r="AO489" s="323">
        <v>2.4116361642512026E-2</v>
      </c>
      <c r="AP489" s="323">
        <v>3.0720562986517465E-2</v>
      </c>
      <c r="AQ489" s="323">
        <v>0.11363327362973727</v>
      </c>
      <c r="AR489" s="323">
        <v>0.10977283236965263</v>
      </c>
      <c r="AS489" s="323">
        <v>8.0951361642512015E-2</v>
      </c>
      <c r="AT489" s="323">
        <v>8.9120662986517468E-2</v>
      </c>
      <c r="AU489" s="190">
        <v>335373730759984.25</v>
      </c>
      <c r="AV489" s="190">
        <v>354797080747643</v>
      </c>
      <c r="AW489" s="190">
        <v>1216851041780961.8</v>
      </c>
      <c r="AX489" s="190">
        <v>1550082455570092.5</v>
      </c>
      <c r="AY489" s="203">
        <v>15.5</v>
      </c>
      <c r="AZ489" s="239">
        <v>275.8</v>
      </c>
      <c r="BA489" s="203">
        <v>1987</v>
      </c>
      <c r="BB489" s="204">
        <v>39296</v>
      </c>
      <c r="BC489" s="203" t="s">
        <v>3102</v>
      </c>
    </row>
    <row r="490" spans="1:55" x14ac:dyDescent="0.2">
      <c r="A490" s="184" t="s">
        <v>2016</v>
      </c>
      <c r="B490" s="184" t="s">
        <v>2015</v>
      </c>
      <c r="C490" s="184" t="s">
        <v>723</v>
      </c>
      <c r="D490" s="185" t="s">
        <v>1043</v>
      </c>
      <c r="E490" s="184" t="s">
        <v>2017</v>
      </c>
      <c r="F490" s="184" t="s">
        <v>2018</v>
      </c>
      <c r="G490" s="186">
        <f>IF(ALECA_Input!$F$13="ICAO (3000ft)",'Aircraft Calc'!C$211,'Aircraft Calc'!G$211)</f>
        <v>0.7</v>
      </c>
      <c r="H490" s="186">
        <f>IF(ALECA_Input!$F$13="ICAO (3000ft)",'Aircraft Calc'!D$211,'Aircraft Calc'!H$211)</f>
        <v>2.2000000000000002</v>
      </c>
      <c r="I490" s="186">
        <f>IF(ALECA_Input!$F$13="ICAO (3000ft)",'Aircraft Calc'!E$211,'Aircraft Calc'!I$211)</f>
        <v>4</v>
      </c>
      <c r="J490" s="189">
        <v>1</v>
      </c>
      <c r="K490" s="187">
        <f t="shared" si="121"/>
        <v>446.25</v>
      </c>
      <c r="L490" s="187">
        <f t="shared" si="122"/>
        <v>8.5700533799999992</v>
      </c>
      <c r="M490" s="187">
        <f t="shared" si="123"/>
        <v>5.628006E-2</v>
      </c>
      <c r="N490" s="187">
        <f t="shared" si="124"/>
        <v>0.50663453999999997</v>
      </c>
      <c r="O490" s="187">
        <f t="shared" si="125"/>
        <v>4.314802967558256E-2</v>
      </c>
      <c r="P490" s="188">
        <f t="shared" si="126"/>
        <v>2.1155470489258304E+17</v>
      </c>
      <c r="Q490" s="187">
        <f t="shared" si="127"/>
        <v>11580</v>
      </c>
      <c r="R490" s="219">
        <f t="shared" si="128"/>
        <v>42.730199999999996</v>
      </c>
      <c r="S490" s="219">
        <f t="shared" si="129"/>
        <v>78.744</v>
      </c>
      <c r="T490" s="219">
        <f t="shared" si="130"/>
        <v>427.41780000000006</v>
      </c>
      <c r="U490" s="219">
        <f t="shared" si="131"/>
        <v>1.2999470128651986</v>
      </c>
      <c r="V490" s="188">
        <f t="shared" si="132"/>
        <v>1.247005024474166E+16</v>
      </c>
      <c r="W490" s="323">
        <v>2.0270000000000001</v>
      </c>
      <c r="X490" s="323">
        <v>1.6830000000000001</v>
      </c>
      <c r="Y490" s="323">
        <v>0.57899999999999996</v>
      </c>
      <c r="Z490" s="323">
        <v>0.193</v>
      </c>
      <c r="AA490" s="323">
        <v>25.69</v>
      </c>
      <c r="AB490" s="323">
        <v>21.77</v>
      </c>
      <c r="AC490" s="323">
        <v>11.13</v>
      </c>
      <c r="AD490" s="323">
        <v>3.69</v>
      </c>
      <c r="AE490" s="323">
        <v>0.09</v>
      </c>
      <c r="AF490" s="323">
        <v>0.1</v>
      </c>
      <c r="AG490" s="323">
        <v>0.19</v>
      </c>
      <c r="AH490" s="323">
        <v>6.8</v>
      </c>
      <c r="AI490" s="323">
        <v>0.53</v>
      </c>
      <c r="AJ490" s="323">
        <v>0.62</v>
      </c>
      <c r="AK490" s="323">
        <v>2.33</v>
      </c>
      <c r="AL490" s="323">
        <v>36.910000000000004</v>
      </c>
      <c r="AM490" s="323">
        <v>4.6626640501972696E-2</v>
      </c>
      <c r="AN490" s="323">
        <v>4.9277687759350909E-2</v>
      </c>
      <c r="AO490" s="323">
        <v>1.6753927469928397E-2</v>
      </c>
      <c r="AP490" s="323">
        <v>2.1341945843281401E-2</v>
      </c>
      <c r="AQ490" s="323">
        <v>0.10593664050197268</v>
      </c>
      <c r="AR490" s="323">
        <v>0.10583768775935092</v>
      </c>
      <c r="AS490" s="323">
        <v>7.6401427469928396E-2</v>
      </c>
      <c r="AT490" s="323">
        <v>0.1122579458432814</v>
      </c>
      <c r="AU490" s="190">
        <v>294082897487920.5</v>
      </c>
      <c r="AV490" s="190">
        <v>310803545821874.63</v>
      </c>
      <c r="AW490" s="190">
        <v>845361103715040.75</v>
      </c>
      <c r="AX490" s="190">
        <v>1076860988319659.8</v>
      </c>
      <c r="AY490" s="203">
        <v>9.6999999999999993</v>
      </c>
      <c r="AZ490" s="239">
        <v>222.4</v>
      </c>
      <c r="BA490" s="203">
        <v>1993</v>
      </c>
      <c r="BB490" s="204">
        <v>39296</v>
      </c>
      <c r="BC490" s="203" t="s">
        <v>3136</v>
      </c>
    </row>
    <row r="491" spans="1:55" x14ac:dyDescent="0.2">
      <c r="A491" s="184" t="s">
        <v>2020</v>
      </c>
      <c r="B491" s="184" t="s">
        <v>2019</v>
      </c>
      <c r="C491" s="184" t="s">
        <v>723</v>
      </c>
      <c r="D491" s="185" t="s">
        <v>1043</v>
      </c>
      <c r="E491" s="184" t="s">
        <v>2021</v>
      </c>
      <c r="F491" s="184" t="s">
        <v>2022</v>
      </c>
      <c r="G491" s="186">
        <f>IF(ALECA_Input!$F$13="ICAO (3000ft)",'Aircraft Calc'!C$211,'Aircraft Calc'!G$211)</f>
        <v>0.7</v>
      </c>
      <c r="H491" s="186">
        <f>IF(ALECA_Input!$F$13="ICAO (3000ft)",'Aircraft Calc'!D$211,'Aircraft Calc'!H$211)</f>
        <v>2.2000000000000002</v>
      </c>
      <c r="I491" s="186">
        <f>IF(ALECA_Input!$F$13="ICAO (3000ft)",'Aircraft Calc'!E$211,'Aircraft Calc'!I$211)</f>
        <v>4</v>
      </c>
      <c r="J491" s="189">
        <v>1</v>
      </c>
      <c r="K491" s="187">
        <f t="shared" si="121"/>
        <v>465.25799999999998</v>
      </c>
      <c r="L491" s="187">
        <f t="shared" si="122"/>
        <v>9.2844116399999983</v>
      </c>
      <c r="M491" s="187">
        <f t="shared" si="123"/>
        <v>5.4819119999999999E-2</v>
      </c>
      <c r="N491" s="187">
        <f t="shared" si="124"/>
        <v>0.49520807999999999</v>
      </c>
      <c r="O491" s="187">
        <f t="shared" si="125"/>
        <v>4.1273459959587887E-2</v>
      </c>
      <c r="P491" s="188">
        <f t="shared" si="126"/>
        <v>1.1824232629385754E+17</v>
      </c>
      <c r="Q491" s="187">
        <f t="shared" si="127"/>
        <v>11880</v>
      </c>
      <c r="R491" s="219">
        <f t="shared" si="128"/>
        <v>44.787600000000005</v>
      </c>
      <c r="S491" s="219">
        <f t="shared" si="129"/>
        <v>71.517600000000016</v>
      </c>
      <c r="T491" s="219">
        <f t="shared" si="130"/>
        <v>410.33520000000004</v>
      </c>
      <c r="U491" s="219">
        <f t="shared" si="131"/>
        <v>1.0610277096156684</v>
      </c>
      <c r="V491" s="188">
        <f t="shared" si="132"/>
        <v>1923405032657887</v>
      </c>
      <c r="W491" s="323">
        <v>2.1269999999999998</v>
      </c>
      <c r="X491" s="323">
        <v>1.7569999999999999</v>
      </c>
      <c r="Y491" s="323">
        <v>0.6</v>
      </c>
      <c r="Z491" s="323">
        <v>0.19800000000000001</v>
      </c>
      <c r="AA491" s="323">
        <v>27.02</v>
      </c>
      <c r="AB491" s="323">
        <v>22.54</v>
      </c>
      <c r="AC491" s="323">
        <v>11.41</v>
      </c>
      <c r="AD491" s="323">
        <v>3.77</v>
      </c>
      <c r="AE491" s="323">
        <v>0.08</v>
      </c>
      <c r="AF491" s="323">
        <v>0.1</v>
      </c>
      <c r="AG491" s="323">
        <v>0.17</v>
      </c>
      <c r="AH491" s="323">
        <v>6.0200000000000005</v>
      </c>
      <c r="AI491" s="323">
        <v>0.52</v>
      </c>
      <c r="AJ491" s="323">
        <v>0.6</v>
      </c>
      <c r="AK491" s="323">
        <v>2.15</v>
      </c>
      <c r="AL491" s="323">
        <v>34.54</v>
      </c>
      <c r="AM491" s="323">
        <v>4.8702856086635757E-2</v>
      </c>
      <c r="AN491" s="323">
        <v>4.1306929832605949E-2</v>
      </c>
      <c r="AO491" s="323">
        <v>4.1808593017157525E-3</v>
      </c>
      <c r="AP491" s="323">
        <v>3.2086967689956432E-3</v>
      </c>
      <c r="AQ491" s="323">
        <v>0.10686285608663576</v>
      </c>
      <c r="AR491" s="323">
        <v>9.7866929832605948E-2</v>
      </c>
      <c r="AS491" s="323">
        <v>6.270335930171575E-2</v>
      </c>
      <c r="AT491" s="323">
        <v>8.9312096768995652E-2</v>
      </c>
      <c r="AU491" s="190">
        <v>307177975502847.5</v>
      </c>
      <c r="AV491" s="190">
        <v>260530492455038.22</v>
      </c>
      <c r="AW491" s="190">
        <v>210955660403776.84</v>
      </c>
      <c r="AX491" s="190">
        <v>161902780526758.16</v>
      </c>
      <c r="AY491" s="203">
        <v>10.4</v>
      </c>
      <c r="AZ491" s="239">
        <v>231.3</v>
      </c>
      <c r="BA491" s="203">
        <v>1993</v>
      </c>
      <c r="BB491" s="204">
        <v>39296</v>
      </c>
      <c r="BC491" s="203" t="s">
        <v>2023</v>
      </c>
    </row>
    <row r="492" spans="1:55" x14ac:dyDescent="0.2">
      <c r="A492" s="184" t="s">
        <v>2025</v>
      </c>
      <c r="B492" s="184" t="s">
        <v>2024</v>
      </c>
      <c r="C492" s="184" t="s">
        <v>723</v>
      </c>
      <c r="D492" s="185" t="s">
        <v>1043</v>
      </c>
      <c r="E492" s="184" t="s">
        <v>2026</v>
      </c>
      <c r="F492" s="184" t="s">
        <v>2027</v>
      </c>
      <c r="G492" s="186">
        <f>IF(ALECA_Input!$F$13="ICAO (3000ft)",'Aircraft Calc'!C$211,'Aircraft Calc'!G$211)</f>
        <v>0.7</v>
      </c>
      <c r="H492" s="186">
        <f>IF(ALECA_Input!$F$13="ICAO (3000ft)",'Aircraft Calc'!D$211,'Aircraft Calc'!H$211)</f>
        <v>2.2000000000000002</v>
      </c>
      <c r="I492" s="186">
        <f>IF(ALECA_Input!$F$13="ICAO (3000ft)",'Aircraft Calc'!E$211,'Aircraft Calc'!I$211)</f>
        <v>4</v>
      </c>
      <c r="J492" s="189">
        <v>1</v>
      </c>
      <c r="K492" s="187">
        <f t="shared" si="121"/>
        <v>505.44599999999997</v>
      </c>
      <c r="L492" s="187">
        <f t="shared" si="122"/>
        <v>10.97070504</v>
      </c>
      <c r="M492" s="187">
        <f t="shared" si="123"/>
        <v>5.5305119999999999E-2</v>
      </c>
      <c r="N492" s="187">
        <f t="shared" si="124"/>
        <v>0.48039599999999999</v>
      </c>
      <c r="O492" s="187">
        <f t="shared" si="125"/>
        <v>4.6757210273788985E-2</v>
      </c>
      <c r="P492" s="188">
        <f t="shared" si="126"/>
        <v>1.4487039696010861E+17</v>
      </c>
      <c r="Q492" s="187">
        <f t="shared" si="127"/>
        <v>12479.999999999998</v>
      </c>
      <c r="R492" s="219">
        <f t="shared" si="128"/>
        <v>49.046399999999998</v>
      </c>
      <c r="S492" s="219">
        <f t="shared" si="129"/>
        <v>59.279999999999994</v>
      </c>
      <c r="T492" s="219">
        <f t="shared" si="130"/>
        <v>373.90079999999995</v>
      </c>
      <c r="U492" s="219">
        <f t="shared" si="131"/>
        <v>1.0168229356770655</v>
      </c>
      <c r="V492" s="188">
        <f t="shared" si="132"/>
        <v>2020546700973941.5</v>
      </c>
      <c r="W492" s="323">
        <v>2.351</v>
      </c>
      <c r="X492" s="323">
        <v>1.9119999999999999</v>
      </c>
      <c r="Y492" s="323">
        <v>0.64300000000000002</v>
      </c>
      <c r="Z492" s="323">
        <v>0.20799999999999999</v>
      </c>
      <c r="AA492" s="323">
        <v>30.44</v>
      </c>
      <c r="AB492" s="323">
        <v>24.240000000000002</v>
      </c>
      <c r="AC492" s="323">
        <v>11.97</v>
      </c>
      <c r="AD492" s="323">
        <v>3.93</v>
      </c>
      <c r="AE492" s="323">
        <v>0.08</v>
      </c>
      <c r="AF492" s="323">
        <v>0.09</v>
      </c>
      <c r="AG492" s="323">
        <v>0.16</v>
      </c>
      <c r="AH492" s="323">
        <v>4.75</v>
      </c>
      <c r="AI492" s="323">
        <v>0.48</v>
      </c>
      <c r="AJ492" s="323">
        <v>0.56000000000000005</v>
      </c>
      <c r="AK492" s="323">
        <v>1.8900000000000001</v>
      </c>
      <c r="AL492" s="323">
        <v>29.96</v>
      </c>
      <c r="AM492" s="323">
        <v>5.3584089581906101E-2</v>
      </c>
      <c r="AN492" s="323">
        <v>4.7484098226353091E-2</v>
      </c>
      <c r="AO492" s="323">
        <v>4.612067998525881E-3</v>
      </c>
      <c r="AP492" s="323">
        <v>3.2086967689956432E-3</v>
      </c>
      <c r="AQ492" s="323">
        <v>0.1117440895819061</v>
      </c>
      <c r="AR492" s="323">
        <v>0.10328409822635309</v>
      </c>
      <c r="AS492" s="323">
        <v>6.2572067998525882E-2</v>
      </c>
      <c r="AT492" s="323">
        <v>8.1476196768995646E-2</v>
      </c>
      <c r="AU492" s="190">
        <v>337964823411039.75</v>
      </c>
      <c r="AV492" s="190">
        <v>299491042903169</v>
      </c>
      <c r="AW492" s="190">
        <v>232713368291746.63</v>
      </c>
      <c r="AX492" s="190">
        <v>161902780526758.16</v>
      </c>
      <c r="AY492" s="203">
        <v>12.2</v>
      </c>
      <c r="AZ492" s="239">
        <v>249.1</v>
      </c>
      <c r="BA492" s="203">
        <v>1993</v>
      </c>
      <c r="BB492" s="204">
        <v>39296</v>
      </c>
      <c r="BC492" s="203" t="s">
        <v>2023</v>
      </c>
    </row>
    <row r="493" spans="1:55" x14ac:dyDescent="0.2">
      <c r="A493" s="184" t="s">
        <v>2029</v>
      </c>
      <c r="B493" s="184" t="s">
        <v>2028</v>
      </c>
      <c r="C493" s="184" t="s">
        <v>723</v>
      </c>
      <c r="D493" s="185" t="s">
        <v>1043</v>
      </c>
      <c r="E493" s="184" t="s">
        <v>1994</v>
      </c>
      <c r="F493" s="184" t="s">
        <v>2030</v>
      </c>
      <c r="G493" s="186">
        <f>IF(ALECA_Input!$F$13="ICAO (3000ft)",'Aircraft Calc'!C$211,'Aircraft Calc'!G$211)</f>
        <v>0.7</v>
      </c>
      <c r="H493" s="186">
        <f>IF(ALECA_Input!$F$13="ICAO (3000ft)",'Aircraft Calc'!D$211,'Aircraft Calc'!H$211)</f>
        <v>2.2000000000000002</v>
      </c>
      <c r="I493" s="186">
        <f>IF(ALECA_Input!$F$13="ICAO (3000ft)",'Aircraft Calc'!E$211,'Aircraft Calc'!I$211)</f>
        <v>4</v>
      </c>
      <c r="J493" s="189">
        <v>1</v>
      </c>
      <c r="K493" s="187">
        <f t="shared" si="121"/>
        <v>526.92000000000007</v>
      </c>
      <c r="L493" s="187">
        <f t="shared" si="122"/>
        <v>11.978849159999999</v>
      </c>
      <c r="M493" s="187">
        <f t="shared" si="123"/>
        <v>5.5956360000000004E-2</v>
      </c>
      <c r="N493" s="187">
        <f t="shared" si="124"/>
        <v>0.47576964000000005</v>
      </c>
      <c r="O493" s="187">
        <f t="shared" si="125"/>
        <v>4.9699704463208899E-2</v>
      </c>
      <c r="P493" s="188">
        <f t="shared" si="126"/>
        <v>1.5735920881108115E+17</v>
      </c>
      <c r="Q493" s="187">
        <f t="shared" si="127"/>
        <v>12780</v>
      </c>
      <c r="R493" s="219">
        <f t="shared" si="128"/>
        <v>50.992199999999997</v>
      </c>
      <c r="S493" s="219">
        <f t="shared" si="129"/>
        <v>54.8262</v>
      </c>
      <c r="T493" s="219">
        <f t="shared" si="130"/>
        <v>358.86239999999998</v>
      </c>
      <c r="U493" s="219">
        <f t="shared" si="131"/>
        <v>1.0049935987077643</v>
      </c>
      <c r="V493" s="188">
        <f t="shared" si="132"/>
        <v>2069117535131969.3</v>
      </c>
      <c r="W493" s="323">
        <v>2.4820000000000002</v>
      </c>
      <c r="X493" s="323">
        <v>1.9930000000000001</v>
      </c>
      <c r="Y493" s="323">
        <v>0.66500000000000004</v>
      </c>
      <c r="Z493" s="323">
        <v>0.21299999999999999</v>
      </c>
      <c r="AA493" s="323">
        <v>32.51</v>
      </c>
      <c r="AB493" s="323">
        <v>25.22</v>
      </c>
      <c r="AC493" s="323">
        <v>12.25</v>
      </c>
      <c r="AD493" s="323">
        <v>3.99</v>
      </c>
      <c r="AE493" s="323">
        <v>0.08</v>
      </c>
      <c r="AF493" s="323">
        <v>0.09</v>
      </c>
      <c r="AG493" s="323">
        <v>0.15</v>
      </c>
      <c r="AH493" s="323">
        <v>4.29</v>
      </c>
      <c r="AI493" s="323">
        <v>0.44</v>
      </c>
      <c r="AJ493" s="323">
        <v>0.53</v>
      </c>
      <c r="AK493" s="323">
        <v>1.82</v>
      </c>
      <c r="AL493" s="323">
        <v>28.080000000000002</v>
      </c>
      <c r="AM493" s="323">
        <v>5.6088986624824866E-2</v>
      </c>
      <c r="AN493" s="323">
        <v>5.0227178643912455E-2</v>
      </c>
      <c r="AO493" s="323">
        <v>4.612067998525881E-3</v>
      </c>
      <c r="AP493" s="323">
        <v>3.2086967689956432E-3</v>
      </c>
      <c r="AQ493" s="323">
        <v>0.11424898662482487</v>
      </c>
      <c r="AR493" s="323">
        <v>0.10602717864391245</v>
      </c>
      <c r="AS493" s="323">
        <v>6.2009567998525889E-2</v>
      </c>
      <c r="AT493" s="323">
        <v>7.8637996768995647E-2</v>
      </c>
      <c r="AU493" s="190">
        <v>353763675148155.81</v>
      </c>
      <c r="AV493" s="190">
        <v>316792161503041.13</v>
      </c>
      <c r="AW493" s="190">
        <v>232713368291746.63</v>
      </c>
      <c r="AX493" s="190">
        <v>161902780526758.16</v>
      </c>
      <c r="AY493" s="203">
        <v>13.3</v>
      </c>
      <c r="AZ493" s="239">
        <v>258</v>
      </c>
      <c r="BA493" s="203">
        <v>1993</v>
      </c>
      <c r="BB493" s="204">
        <v>39296</v>
      </c>
      <c r="BC493" s="203" t="s">
        <v>1948</v>
      </c>
    </row>
    <row r="494" spans="1:55" x14ac:dyDescent="0.2">
      <c r="A494" s="184" t="s">
        <v>2032</v>
      </c>
      <c r="B494" s="184" t="s">
        <v>2031</v>
      </c>
      <c r="C494" s="184" t="s">
        <v>723</v>
      </c>
      <c r="D494" s="185" t="s">
        <v>1043</v>
      </c>
      <c r="E494" s="184" t="s">
        <v>2033</v>
      </c>
      <c r="F494" s="184" t="s">
        <v>2034</v>
      </c>
      <c r="G494" s="186">
        <f>IF(ALECA_Input!$F$13="ICAO (3000ft)",'Aircraft Calc'!C$211,'Aircraft Calc'!G$211)</f>
        <v>0.7</v>
      </c>
      <c r="H494" s="186">
        <f>IF(ALECA_Input!$F$13="ICAO (3000ft)",'Aircraft Calc'!D$211,'Aircraft Calc'!H$211)</f>
        <v>2.2000000000000002</v>
      </c>
      <c r="I494" s="186">
        <f>IF(ALECA_Input!$F$13="ICAO (3000ft)",'Aircraft Calc'!E$211,'Aircraft Calc'!I$211)</f>
        <v>4</v>
      </c>
      <c r="J494" s="189">
        <v>1</v>
      </c>
      <c r="K494" s="187">
        <f t="shared" si="121"/>
        <v>548.70600000000002</v>
      </c>
      <c r="L494" s="187">
        <f t="shared" si="122"/>
        <v>13.121156940000001</v>
      </c>
      <c r="M494" s="187">
        <f t="shared" si="123"/>
        <v>5.542128000000001E-2</v>
      </c>
      <c r="N494" s="187">
        <f t="shared" si="124"/>
        <v>0.47296800000000006</v>
      </c>
      <c r="O494" s="187">
        <f t="shared" si="125"/>
        <v>5.2622902977100705E-2</v>
      </c>
      <c r="P494" s="188">
        <f t="shared" si="126"/>
        <v>1.7374727136560461E+17</v>
      </c>
      <c r="Q494" s="187">
        <f t="shared" si="127"/>
        <v>13080</v>
      </c>
      <c r="R494" s="219">
        <f t="shared" si="128"/>
        <v>53.235600000000005</v>
      </c>
      <c r="S494" s="219">
        <f t="shared" si="129"/>
        <v>48.788400000000003</v>
      </c>
      <c r="T494" s="219">
        <f t="shared" si="130"/>
        <v>337.85640000000001</v>
      </c>
      <c r="U494" s="219">
        <f t="shared" si="131"/>
        <v>0.98339098173846295</v>
      </c>
      <c r="V494" s="188">
        <f t="shared" si="132"/>
        <v>2117688369289996.8</v>
      </c>
      <c r="W494" s="323">
        <v>2.6230000000000002</v>
      </c>
      <c r="X494" s="323">
        <v>2.0750000000000002</v>
      </c>
      <c r="Y494" s="323">
        <v>0.68600000000000005</v>
      </c>
      <c r="Z494" s="323">
        <v>0.218</v>
      </c>
      <c r="AA494" s="323">
        <v>34.89</v>
      </c>
      <c r="AB494" s="323">
        <v>26.34</v>
      </c>
      <c r="AC494" s="323">
        <v>12.530000000000001</v>
      </c>
      <c r="AD494" s="323">
        <v>4.07</v>
      </c>
      <c r="AE494" s="323">
        <v>0.08</v>
      </c>
      <c r="AF494" s="323">
        <v>0.08</v>
      </c>
      <c r="AG494" s="323">
        <v>0.15</v>
      </c>
      <c r="AH494" s="323">
        <v>3.73</v>
      </c>
      <c r="AI494" s="323">
        <v>0.4</v>
      </c>
      <c r="AJ494" s="323">
        <v>0.52</v>
      </c>
      <c r="AK494" s="323">
        <v>1.74</v>
      </c>
      <c r="AL494" s="323">
        <v>25.830000000000002</v>
      </c>
      <c r="AM494" s="323">
        <v>5.8241878765508778E-2</v>
      </c>
      <c r="AN494" s="323">
        <v>5.2709909988821822E-2</v>
      </c>
      <c r="AO494" s="323">
        <v>5.0822938233804947E-3</v>
      </c>
      <c r="AP494" s="323">
        <v>3.2086967689956432E-3</v>
      </c>
      <c r="AQ494" s="323">
        <v>0.11640187876550878</v>
      </c>
      <c r="AR494" s="323">
        <v>0.10774990998882183</v>
      </c>
      <c r="AS494" s="323">
        <v>6.2479793823380501E-2</v>
      </c>
      <c r="AT494" s="323">
        <v>7.5182796768995641E-2</v>
      </c>
      <c r="AU494" s="190">
        <v>367342366469150.94</v>
      </c>
      <c r="AV494" s="190">
        <v>332451210058429.5</v>
      </c>
      <c r="AW494" s="190">
        <v>256439782471818.91</v>
      </c>
      <c r="AX494" s="190">
        <v>161902780526758.16</v>
      </c>
      <c r="AY494" s="203">
        <v>14.5</v>
      </c>
      <c r="AZ494" s="239">
        <v>266.89999999999998</v>
      </c>
      <c r="BA494" s="203">
        <v>1993</v>
      </c>
      <c r="BB494" s="204">
        <v>35684</v>
      </c>
      <c r="BC494" s="203" t="s">
        <v>2023</v>
      </c>
    </row>
    <row r="495" spans="1:55" x14ac:dyDescent="0.2">
      <c r="A495" s="184" t="s">
        <v>2036</v>
      </c>
      <c r="B495" s="184" t="s">
        <v>2035</v>
      </c>
      <c r="C495" s="184" t="s">
        <v>723</v>
      </c>
      <c r="D495" s="185" t="s">
        <v>1043</v>
      </c>
      <c r="E495" s="184" t="s">
        <v>2014</v>
      </c>
      <c r="F495" s="184" t="s">
        <v>2037</v>
      </c>
      <c r="G495" s="186">
        <f>IF(ALECA_Input!$F$13="ICAO (3000ft)",'Aircraft Calc'!C$211,'Aircraft Calc'!G$211)</f>
        <v>0.7</v>
      </c>
      <c r="H495" s="186">
        <f>IF(ALECA_Input!$F$13="ICAO (3000ft)",'Aircraft Calc'!D$211,'Aircraft Calc'!H$211)</f>
        <v>2.2000000000000002</v>
      </c>
      <c r="I495" s="186">
        <f>IF(ALECA_Input!$F$13="ICAO (3000ft)",'Aircraft Calc'!E$211,'Aircraft Calc'!I$211)</f>
        <v>4</v>
      </c>
      <c r="J495" s="189">
        <v>1</v>
      </c>
      <c r="K495" s="187">
        <f t="shared" si="121"/>
        <v>572.04600000000005</v>
      </c>
      <c r="L495" s="187">
        <f t="shared" si="122"/>
        <v>14.423910300000001</v>
      </c>
      <c r="M495" s="187">
        <f t="shared" si="123"/>
        <v>5.765808E-2</v>
      </c>
      <c r="N495" s="187">
        <f t="shared" si="124"/>
        <v>0.47544204000000001</v>
      </c>
      <c r="O495" s="187">
        <f t="shared" si="125"/>
        <v>5.6012441716901611E-2</v>
      </c>
      <c r="P495" s="188">
        <f t="shared" si="126"/>
        <v>1.880105271213289E+17</v>
      </c>
      <c r="Q495" s="187">
        <f t="shared" si="127"/>
        <v>13380</v>
      </c>
      <c r="R495" s="219">
        <f t="shared" si="128"/>
        <v>55.3932</v>
      </c>
      <c r="S495" s="219">
        <f t="shared" si="129"/>
        <v>43.618800000000007</v>
      </c>
      <c r="T495" s="219">
        <f t="shared" si="130"/>
        <v>320.58480000000003</v>
      </c>
      <c r="U495" s="219">
        <f t="shared" si="131"/>
        <v>0.96714515876916174</v>
      </c>
      <c r="V495" s="188">
        <f t="shared" si="132"/>
        <v>2166259203448024.3</v>
      </c>
      <c r="W495" s="323">
        <v>2.7669999999999999</v>
      </c>
      <c r="X495" s="323">
        <v>2.1659999999999999</v>
      </c>
      <c r="Y495" s="323">
        <v>0.70799999999999996</v>
      </c>
      <c r="Z495" s="323">
        <v>0.223</v>
      </c>
      <c r="AA495" s="323">
        <v>37.65</v>
      </c>
      <c r="AB495" s="323">
        <v>27.55</v>
      </c>
      <c r="AC495" s="323">
        <v>12.780000000000001</v>
      </c>
      <c r="AD495" s="323">
        <v>4.1399999999999997</v>
      </c>
      <c r="AE495" s="323">
        <v>0.08</v>
      </c>
      <c r="AF495" s="323">
        <v>0.08</v>
      </c>
      <c r="AG495" s="323">
        <v>0.15</v>
      </c>
      <c r="AH495" s="323">
        <v>3.2600000000000002</v>
      </c>
      <c r="AI495" s="323">
        <v>0.38</v>
      </c>
      <c r="AJ495" s="323">
        <v>0.51</v>
      </c>
      <c r="AK495" s="323">
        <v>1.68</v>
      </c>
      <c r="AL495" s="323">
        <v>23.96</v>
      </c>
      <c r="AM495" s="323">
        <v>6.0465967009096011E-2</v>
      </c>
      <c r="AN495" s="323">
        <v>5.5518063391664957E-2</v>
      </c>
      <c r="AO495" s="323">
        <v>5.0822938233804947E-3</v>
      </c>
      <c r="AP495" s="323">
        <v>3.2086967689956432E-3</v>
      </c>
      <c r="AQ495" s="323">
        <v>0.118625967009096</v>
      </c>
      <c r="AR495" s="323">
        <v>0.11055806339166496</v>
      </c>
      <c r="AS495" s="323">
        <v>6.2479793823380501E-2</v>
      </c>
      <c r="AT495" s="323">
        <v>7.2282896768995644E-2</v>
      </c>
      <c r="AU495" s="190">
        <v>381370104858651.25</v>
      </c>
      <c r="AV495" s="190">
        <v>350162756084648.88</v>
      </c>
      <c r="AW495" s="190">
        <v>256439782471818.91</v>
      </c>
      <c r="AX495" s="190">
        <v>161902780526758.16</v>
      </c>
      <c r="AY495" s="203">
        <v>15.9</v>
      </c>
      <c r="AZ495" s="239">
        <v>275.8</v>
      </c>
      <c r="BA495" s="203">
        <v>1993</v>
      </c>
      <c r="BB495" s="204">
        <v>39296</v>
      </c>
      <c r="BC495" s="203" t="s">
        <v>2038</v>
      </c>
    </row>
    <row r="496" spans="1:55" x14ac:dyDescent="0.2">
      <c r="A496" s="184" t="s">
        <v>2040</v>
      </c>
      <c r="B496" s="184" t="s">
        <v>2039</v>
      </c>
      <c r="C496" s="184" t="s">
        <v>723</v>
      </c>
      <c r="D496" s="185" t="s">
        <v>1043</v>
      </c>
      <c r="E496" s="184" t="s">
        <v>2041</v>
      </c>
      <c r="F496" s="184" t="s">
        <v>2042</v>
      </c>
      <c r="G496" s="186">
        <f>IF(ALECA_Input!$F$13="ICAO (3000ft)",'Aircraft Calc'!C$211,'Aircraft Calc'!G$211)</f>
        <v>0.7</v>
      </c>
      <c r="H496" s="186">
        <f>IF(ALECA_Input!$F$13="ICAO (3000ft)",'Aircraft Calc'!D$211,'Aircraft Calc'!H$211)</f>
        <v>2.2000000000000002</v>
      </c>
      <c r="I496" s="186">
        <f>IF(ALECA_Input!$F$13="ICAO (3000ft)",'Aircraft Calc'!E$211,'Aircraft Calc'!I$211)</f>
        <v>4</v>
      </c>
      <c r="J496" s="189">
        <v>1</v>
      </c>
      <c r="K496" s="187">
        <f t="shared" si="121"/>
        <v>230.45400000000001</v>
      </c>
      <c r="L496" s="187">
        <f t="shared" si="122"/>
        <v>2.7045969599999999</v>
      </c>
      <c r="M496" s="187">
        <f t="shared" si="123"/>
        <v>2.30454E-4</v>
      </c>
      <c r="N496" s="187">
        <f t="shared" si="124"/>
        <v>0.40538555999999992</v>
      </c>
      <c r="O496" s="187">
        <f t="shared" si="125"/>
        <v>4.711242371246864E-2</v>
      </c>
      <c r="P496" s="188">
        <f t="shared" si="126"/>
        <v>3.9347514790504237E+17</v>
      </c>
      <c r="Q496" s="187">
        <f t="shared" si="127"/>
        <v>6540</v>
      </c>
      <c r="R496" s="219">
        <f t="shared" si="128"/>
        <v>20.1432</v>
      </c>
      <c r="S496" s="219">
        <f t="shared" si="129"/>
        <v>3.9240000000000004E-2</v>
      </c>
      <c r="T496" s="219">
        <f t="shared" si="130"/>
        <v>161.40719999999999</v>
      </c>
      <c r="U496" s="219">
        <f t="shared" si="131"/>
        <v>0.85295616928039875</v>
      </c>
      <c r="V496" s="188">
        <f t="shared" si="132"/>
        <v>2.686940274789524E+16</v>
      </c>
      <c r="W496" s="323">
        <v>1.0469999999999999</v>
      </c>
      <c r="X496" s="323">
        <v>0.86</v>
      </c>
      <c r="Y496" s="323">
        <v>0.30399999999999999</v>
      </c>
      <c r="Z496" s="323">
        <v>0.109</v>
      </c>
      <c r="AA496" s="323">
        <v>17.04</v>
      </c>
      <c r="AB496" s="323">
        <v>13.4</v>
      </c>
      <c r="AC496" s="323">
        <v>5.95</v>
      </c>
      <c r="AD496" s="323">
        <v>3.08</v>
      </c>
      <c r="AE496" s="323">
        <v>1E-3</v>
      </c>
      <c r="AF496" s="323">
        <v>1E-3</v>
      </c>
      <c r="AG496" s="323">
        <v>1E-3</v>
      </c>
      <c r="AH496" s="323">
        <v>6.0000000000000001E-3</v>
      </c>
      <c r="AI496" s="323">
        <v>0.74</v>
      </c>
      <c r="AJ496" s="323">
        <v>0.72</v>
      </c>
      <c r="AK496" s="323">
        <v>3.99</v>
      </c>
      <c r="AL496" s="323">
        <v>24.68</v>
      </c>
      <c r="AM496" s="323">
        <v>0.19279946544041365</v>
      </c>
      <c r="AN496" s="323">
        <v>0.20733980123611401</v>
      </c>
      <c r="AO496" s="323">
        <v>5.2031653136900023E-2</v>
      </c>
      <c r="AP496" s="323">
        <v>8.1424412611681762E-2</v>
      </c>
      <c r="AQ496" s="323">
        <v>0.24187446544041363</v>
      </c>
      <c r="AR496" s="323">
        <v>0.25637580123611403</v>
      </c>
      <c r="AS496" s="323">
        <v>0.10104790313690004</v>
      </c>
      <c r="AT496" s="323">
        <v>0.13042143261168176</v>
      </c>
      <c r="AU496" s="190">
        <v>1216022102824246.5</v>
      </c>
      <c r="AV496" s="190">
        <v>1307730706215176.5</v>
      </c>
      <c r="AW496" s="190">
        <v>2625386543118176</v>
      </c>
      <c r="AX496" s="190">
        <v>4108471368179700</v>
      </c>
      <c r="AY496" s="203">
        <v>3.2</v>
      </c>
      <c r="AZ496" s="239">
        <v>98.31</v>
      </c>
      <c r="BA496" s="203">
        <v>2003</v>
      </c>
      <c r="BB496" s="204">
        <v>39296</v>
      </c>
      <c r="BC496" s="203" t="s">
        <v>2043</v>
      </c>
    </row>
    <row r="497" spans="1:55" x14ac:dyDescent="0.2">
      <c r="A497" s="184" t="s">
        <v>2045</v>
      </c>
      <c r="B497" s="184" t="s">
        <v>2044</v>
      </c>
      <c r="C497" s="184" t="s">
        <v>723</v>
      </c>
      <c r="D497" s="185" t="s">
        <v>1043</v>
      </c>
      <c r="E497" s="184" t="s">
        <v>2046</v>
      </c>
      <c r="F497" s="184" t="s">
        <v>2047</v>
      </c>
      <c r="G497" s="186">
        <f>IF(ALECA_Input!$F$13="ICAO (3000ft)",'Aircraft Calc'!C$211,'Aircraft Calc'!G$211)</f>
        <v>0.7</v>
      </c>
      <c r="H497" s="186">
        <f>IF(ALECA_Input!$F$13="ICAO (3000ft)",'Aircraft Calc'!D$211,'Aircraft Calc'!H$211)</f>
        <v>2.2000000000000002</v>
      </c>
      <c r="I497" s="186">
        <f>IF(ALECA_Input!$F$13="ICAO (3000ft)",'Aircraft Calc'!E$211,'Aircraft Calc'!I$211)</f>
        <v>4</v>
      </c>
      <c r="J497" s="189">
        <v>1</v>
      </c>
      <c r="K497" s="187">
        <f t="shared" si="121"/>
        <v>251.04599999999999</v>
      </c>
      <c r="L497" s="187">
        <f t="shared" si="122"/>
        <v>3.5337467400000002</v>
      </c>
      <c r="M497" s="187">
        <f t="shared" si="123"/>
        <v>4.2409200000000005E-4</v>
      </c>
      <c r="N497" s="187">
        <f t="shared" si="124"/>
        <v>0.42160451999999998</v>
      </c>
      <c r="O497" s="187">
        <f t="shared" si="125"/>
        <v>5.519491501805332E-2</v>
      </c>
      <c r="P497" s="188">
        <f t="shared" si="126"/>
        <v>4.4956654368576346E+17</v>
      </c>
      <c r="Q497" s="187">
        <f t="shared" si="127"/>
        <v>6840</v>
      </c>
      <c r="R497" s="219">
        <f t="shared" si="128"/>
        <v>24.487200000000001</v>
      </c>
      <c r="S497" s="219">
        <f t="shared" si="129"/>
        <v>1.3679999999999999E-2</v>
      </c>
      <c r="T497" s="219">
        <f t="shared" si="130"/>
        <v>172.2996</v>
      </c>
      <c r="U497" s="219">
        <f t="shared" si="131"/>
        <v>0.87277136430281288</v>
      </c>
      <c r="V497" s="188">
        <f t="shared" si="132"/>
        <v>2.7136065540429268E+16</v>
      </c>
      <c r="W497" s="323">
        <v>1.169</v>
      </c>
      <c r="X497" s="323">
        <v>0.93899999999999995</v>
      </c>
      <c r="Y497" s="323">
        <v>0.32500000000000001</v>
      </c>
      <c r="Z497" s="323">
        <v>0.114</v>
      </c>
      <c r="AA497" s="323">
        <v>21.03</v>
      </c>
      <c r="AB497" s="323">
        <v>15.85</v>
      </c>
      <c r="AC497" s="323">
        <v>6.88</v>
      </c>
      <c r="AD497" s="323">
        <v>3.58</v>
      </c>
      <c r="AE497" s="323">
        <v>2E-3</v>
      </c>
      <c r="AF497" s="323">
        <v>2E-3</v>
      </c>
      <c r="AG497" s="323">
        <v>1E-3</v>
      </c>
      <c r="AH497" s="323">
        <v>2E-3</v>
      </c>
      <c r="AI497" s="323">
        <v>0.68</v>
      </c>
      <c r="AJ497" s="323">
        <v>0.81</v>
      </c>
      <c r="AK497" s="323">
        <v>3.69</v>
      </c>
      <c r="AL497" s="323">
        <v>25.19</v>
      </c>
      <c r="AM497" s="323">
        <v>0.21825180221559115</v>
      </c>
      <c r="AN497" s="323">
        <v>0.22666752825534922</v>
      </c>
      <c r="AO497" s="323">
        <v>5.2031653136900023E-2</v>
      </c>
      <c r="AP497" s="323">
        <v>7.862581267584981E-2</v>
      </c>
      <c r="AQ497" s="323">
        <v>0.26744180221559111</v>
      </c>
      <c r="AR497" s="323">
        <v>0.27577952825534924</v>
      </c>
      <c r="AS497" s="323">
        <v>0.10104790313690004</v>
      </c>
      <c r="AT497" s="323">
        <v>0.12759815267584984</v>
      </c>
      <c r="AU497" s="190">
        <v>1376554726794139.5</v>
      </c>
      <c r="AV497" s="190">
        <v>1429634276845185.8</v>
      </c>
      <c r="AW497" s="190">
        <v>2625386543118176</v>
      </c>
      <c r="AX497" s="190">
        <v>3967261043922407.5</v>
      </c>
      <c r="AY497" s="203">
        <v>4.2</v>
      </c>
      <c r="AZ497" s="239">
        <v>105.87</v>
      </c>
      <c r="BA497" s="203">
        <v>2003</v>
      </c>
      <c r="BB497" s="204">
        <v>39296</v>
      </c>
      <c r="BC497" s="203" t="s">
        <v>2048</v>
      </c>
    </row>
    <row r="498" spans="1:55" x14ac:dyDescent="0.2">
      <c r="A498" s="184" t="s">
        <v>2050</v>
      </c>
      <c r="B498" s="184" t="s">
        <v>2049</v>
      </c>
      <c r="C498" s="184" t="s">
        <v>723</v>
      </c>
      <c r="D498" s="185" t="s">
        <v>1043</v>
      </c>
      <c r="E498" s="184" t="s">
        <v>2051</v>
      </c>
      <c r="F498" s="184" t="s">
        <v>2052</v>
      </c>
      <c r="G498" s="186">
        <f>IF(ALECA_Input!$F$13="ICAO (3000ft)",'Aircraft Calc'!C$211,'Aircraft Calc'!G$211)</f>
        <v>0.7</v>
      </c>
      <c r="H498" s="186">
        <f>IF(ALECA_Input!$F$13="ICAO (3000ft)",'Aircraft Calc'!D$211,'Aircraft Calc'!H$211)</f>
        <v>2.2000000000000002</v>
      </c>
      <c r="I498" s="186">
        <f>IF(ALECA_Input!$F$13="ICAO (3000ft)",'Aircraft Calc'!E$211,'Aircraft Calc'!I$211)</f>
        <v>4</v>
      </c>
      <c r="J498" s="189">
        <v>1</v>
      </c>
      <c r="K498" s="187">
        <f t="shared" si="121"/>
        <v>595.82999999999993</v>
      </c>
      <c r="L498" s="187">
        <f t="shared" si="122"/>
        <v>11.455000980000001</v>
      </c>
      <c r="M498" s="187">
        <f t="shared" si="123"/>
        <v>1.116E-2</v>
      </c>
      <c r="N498" s="187">
        <f t="shared" si="124"/>
        <v>0.35682828</v>
      </c>
      <c r="O498" s="187">
        <f t="shared" si="125"/>
        <v>4.7844270577606179E-2</v>
      </c>
      <c r="P498" s="188">
        <f t="shared" si="126"/>
        <v>1.3922324083272494E+17</v>
      </c>
      <c r="Q498" s="187">
        <f t="shared" si="127"/>
        <v>14580</v>
      </c>
      <c r="R498" s="219">
        <f t="shared" si="128"/>
        <v>55.258200000000002</v>
      </c>
      <c r="S498" s="219">
        <f t="shared" si="129"/>
        <v>20.995200000000001</v>
      </c>
      <c r="T498" s="219">
        <f t="shared" si="130"/>
        <v>249.75539999999998</v>
      </c>
      <c r="U498" s="219">
        <f t="shared" si="131"/>
        <v>0.89015998289195675</v>
      </c>
      <c r="V498" s="188">
        <f t="shared" si="132"/>
        <v>2360542540080134</v>
      </c>
      <c r="W498" s="323">
        <v>2.7210000000000001</v>
      </c>
      <c r="X498" s="323">
        <v>2.2389999999999999</v>
      </c>
      <c r="Y498" s="323">
        <v>0.77500000000000002</v>
      </c>
      <c r="Z498" s="323">
        <v>0.24299999999999999</v>
      </c>
      <c r="AA498" s="323">
        <v>26.31</v>
      </c>
      <c r="AB498" s="323">
        <v>20.97</v>
      </c>
      <c r="AC498" s="323">
        <v>12.1</v>
      </c>
      <c r="AD498" s="323">
        <v>3.79</v>
      </c>
      <c r="AE498" s="323">
        <v>0</v>
      </c>
      <c r="AF498" s="323">
        <v>0</v>
      </c>
      <c r="AG498" s="323">
        <v>0.06</v>
      </c>
      <c r="AH498" s="323">
        <v>1.44</v>
      </c>
      <c r="AI498" s="323">
        <v>0.16</v>
      </c>
      <c r="AJ498" s="323">
        <v>0.17</v>
      </c>
      <c r="AK498" s="323">
        <v>1.55</v>
      </c>
      <c r="AL498" s="323">
        <v>17.13</v>
      </c>
      <c r="AM498" s="323">
        <v>4.2003941536421757E-2</v>
      </c>
      <c r="AN498" s="323">
        <v>4.2865485864305164E-2</v>
      </c>
      <c r="AO498" s="323">
        <v>3.0945199715976357E-3</v>
      </c>
      <c r="AP498" s="323">
        <v>3.2086967689956432E-3</v>
      </c>
      <c r="AQ498" s="323">
        <v>9.0963941536421761E-2</v>
      </c>
      <c r="AR498" s="323">
        <v>9.1825485864305167E-2</v>
      </c>
      <c r="AS498" s="323">
        <v>5.5429519971597639E-2</v>
      </c>
      <c r="AT498" s="323">
        <v>6.1053496768995658E-2</v>
      </c>
      <c r="AU498" s="190">
        <v>264926674964315.78</v>
      </c>
      <c r="AV498" s="190">
        <v>270360595348254.19</v>
      </c>
      <c r="AW498" s="190">
        <v>156141706077780.56</v>
      </c>
      <c r="AX498" s="190">
        <v>161902780526758.16</v>
      </c>
      <c r="AY498" s="203">
        <v>12.9</v>
      </c>
      <c r="AZ498" s="239">
        <v>286.89999999999998</v>
      </c>
      <c r="BA498" s="203">
        <v>2008</v>
      </c>
      <c r="BB498" s="204">
        <v>39849</v>
      </c>
      <c r="BC498" s="203" t="s">
        <v>2053</v>
      </c>
    </row>
    <row r="499" spans="1:55" x14ac:dyDescent="0.2">
      <c r="A499" s="184" t="s">
        <v>2055</v>
      </c>
      <c r="B499" s="184" t="s">
        <v>2054</v>
      </c>
      <c r="C499" s="184" t="s">
        <v>723</v>
      </c>
      <c r="D499" s="185" t="s">
        <v>1043</v>
      </c>
      <c r="E499" s="184" t="s">
        <v>2056</v>
      </c>
      <c r="F499" s="184" t="s">
        <v>2057</v>
      </c>
      <c r="G499" s="186">
        <f>IF(ALECA_Input!$F$13="ICAO (3000ft)",'Aircraft Calc'!C$211,'Aircraft Calc'!G$211)</f>
        <v>0.7</v>
      </c>
      <c r="H499" s="186">
        <f>IF(ALECA_Input!$F$13="ICAO (3000ft)",'Aircraft Calc'!D$211,'Aircraft Calc'!H$211)</f>
        <v>2.2000000000000002</v>
      </c>
      <c r="I499" s="186">
        <f>IF(ALECA_Input!$F$13="ICAO (3000ft)",'Aircraft Calc'!E$211,'Aircraft Calc'!I$211)</f>
        <v>4</v>
      </c>
      <c r="J499" s="189">
        <v>1</v>
      </c>
      <c r="K499" s="187">
        <f t="shared" si="121"/>
        <v>636.21</v>
      </c>
      <c r="L499" s="187">
        <f t="shared" si="122"/>
        <v>13.213446060000001</v>
      </c>
      <c r="M499" s="187">
        <f t="shared" si="123"/>
        <v>9.8160000000000001E-3</v>
      </c>
      <c r="N499" s="187">
        <f t="shared" si="124"/>
        <v>0.32530986000000001</v>
      </c>
      <c r="O499" s="187">
        <f t="shared" si="125"/>
        <v>5.1872542359651393E-2</v>
      </c>
      <c r="P499" s="188">
        <f t="shared" si="126"/>
        <v>1.5404774624155405E+17</v>
      </c>
      <c r="Q499" s="187">
        <f t="shared" si="127"/>
        <v>15120.000000000002</v>
      </c>
      <c r="R499" s="219">
        <f t="shared" si="128"/>
        <v>61.689600000000006</v>
      </c>
      <c r="S499" s="219">
        <f t="shared" si="129"/>
        <v>14.364000000000001</v>
      </c>
      <c r="T499" s="219">
        <f t="shared" si="130"/>
        <v>223.4736</v>
      </c>
      <c r="U499" s="219">
        <f t="shared" si="131"/>
        <v>0.87741657514721416</v>
      </c>
      <c r="V499" s="188">
        <f t="shared" si="132"/>
        <v>2447970041564583.5</v>
      </c>
      <c r="W499" s="323">
        <v>2.9369999999999998</v>
      </c>
      <c r="X499" s="323">
        <v>2.3980000000000001</v>
      </c>
      <c r="Y499" s="323">
        <v>0.81799999999999995</v>
      </c>
      <c r="Z499" s="323">
        <v>0.252</v>
      </c>
      <c r="AA499" s="323">
        <v>30.15</v>
      </c>
      <c r="AB499" s="323">
        <v>22.31</v>
      </c>
      <c r="AC499" s="323">
        <v>12.39</v>
      </c>
      <c r="AD499" s="323">
        <v>4.08</v>
      </c>
      <c r="AE499" s="323">
        <v>0</v>
      </c>
      <c r="AF499" s="323">
        <v>0</v>
      </c>
      <c r="AG499" s="323">
        <v>0.05</v>
      </c>
      <c r="AH499" s="323">
        <v>0.95</v>
      </c>
      <c r="AI499" s="323">
        <v>0.17</v>
      </c>
      <c r="AJ499" s="323">
        <v>0.18</v>
      </c>
      <c r="AK499" s="323">
        <v>1.26</v>
      </c>
      <c r="AL499" s="323">
        <v>14.78</v>
      </c>
      <c r="AM499" s="323">
        <v>4.1478180925544748E-2</v>
      </c>
      <c r="AN499" s="323">
        <v>4.5642628544423657E-2</v>
      </c>
      <c r="AO499" s="323">
        <v>3.0945199715976357E-3</v>
      </c>
      <c r="AP499" s="323">
        <v>3.2086967689956432E-3</v>
      </c>
      <c r="AQ499" s="323">
        <v>9.0438180925544759E-2</v>
      </c>
      <c r="AR499" s="323">
        <v>9.4602628544423667E-2</v>
      </c>
      <c r="AS499" s="323">
        <v>5.4867019971597646E-2</v>
      </c>
      <c r="AT499" s="323">
        <v>5.8030196768995644E-2</v>
      </c>
      <c r="AU499" s="190">
        <v>261610604962978.53</v>
      </c>
      <c r="AV499" s="190">
        <v>287876550976068.75</v>
      </c>
      <c r="AW499" s="190">
        <v>156141706077780.56</v>
      </c>
      <c r="AX499" s="190">
        <v>161902780526758.16</v>
      </c>
      <c r="AY499" s="203">
        <v>14.8</v>
      </c>
      <c r="AZ499" s="239">
        <v>305.10000000000002</v>
      </c>
      <c r="BA499" s="203">
        <v>2008</v>
      </c>
      <c r="BB499" s="204">
        <v>39849</v>
      </c>
      <c r="BC499" s="203" t="s">
        <v>2053</v>
      </c>
    </row>
    <row r="500" spans="1:55" x14ac:dyDescent="0.2">
      <c r="A500" s="184" t="s">
        <v>657</v>
      </c>
      <c r="B500" s="184" t="s">
        <v>2058</v>
      </c>
      <c r="C500" s="184" t="s">
        <v>723</v>
      </c>
      <c r="D500" s="185" t="s">
        <v>1043</v>
      </c>
      <c r="E500" s="184" t="s">
        <v>2059</v>
      </c>
      <c r="F500" s="184" t="s">
        <v>2060</v>
      </c>
      <c r="G500" s="186">
        <f>IF(ALECA_Input!$F$13="ICAO (3000ft)",'Aircraft Calc'!C$211,'Aircraft Calc'!G$211)</f>
        <v>0.7</v>
      </c>
      <c r="H500" s="186">
        <f>IF(ALECA_Input!$F$13="ICAO (3000ft)",'Aircraft Calc'!D$211,'Aircraft Calc'!H$211)</f>
        <v>2.2000000000000002</v>
      </c>
      <c r="I500" s="186">
        <f>IF(ALECA_Input!$F$13="ICAO (3000ft)",'Aircraft Calc'!E$211,'Aircraft Calc'!I$211)</f>
        <v>4</v>
      </c>
      <c r="J500" s="189">
        <v>1</v>
      </c>
      <c r="K500" s="187">
        <f t="shared" si="121"/>
        <v>636.21</v>
      </c>
      <c r="L500" s="187">
        <f t="shared" si="122"/>
        <v>13.210280700000002</v>
      </c>
      <c r="M500" s="187">
        <f t="shared" si="123"/>
        <v>9.8160000000000001E-3</v>
      </c>
      <c r="N500" s="187">
        <f t="shared" si="124"/>
        <v>0.32530986000000001</v>
      </c>
      <c r="O500" s="187">
        <f t="shared" si="125"/>
        <v>5.1872542359651393E-2</v>
      </c>
      <c r="P500" s="188">
        <f t="shared" si="126"/>
        <v>1.5404774624155405E+17</v>
      </c>
      <c r="Q500" s="187">
        <f t="shared" si="127"/>
        <v>15120.000000000002</v>
      </c>
      <c r="R500" s="219">
        <f t="shared" si="128"/>
        <v>61.689600000000006</v>
      </c>
      <c r="S500" s="219">
        <f t="shared" si="129"/>
        <v>14.364000000000001</v>
      </c>
      <c r="T500" s="219">
        <f t="shared" si="130"/>
        <v>223.4736</v>
      </c>
      <c r="U500" s="219">
        <f t="shared" si="131"/>
        <v>0.87741657514721416</v>
      </c>
      <c r="V500" s="188">
        <f t="shared" si="132"/>
        <v>2447970041564583.5</v>
      </c>
      <c r="W500" s="323">
        <v>2.9369999999999998</v>
      </c>
      <c r="X500" s="323">
        <v>2.3980000000000001</v>
      </c>
      <c r="Y500" s="323">
        <v>0.81799999999999995</v>
      </c>
      <c r="Z500" s="323">
        <v>0.252</v>
      </c>
      <c r="AA500" s="323">
        <v>30.15</v>
      </c>
      <c r="AB500" s="323">
        <v>22.3</v>
      </c>
      <c r="AC500" s="323">
        <v>12.39</v>
      </c>
      <c r="AD500" s="323">
        <v>4.08</v>
      </c>
      <c r="AE500" s="323">
        <v>0</v>
      </c>
      <c r="AF500" s="323">
        <v>0</v>
      </c>
      <c r="AG500" s="323">
        <v>0.05</v>
      </c>
      <c r="AH500" s="323">
        <v>0.95</v>
      </c>
      <c r="AI500" s="323">
        <v>0.17</v>
      </c>
      <c r="AJ500" s="323">
        <v>0.18</v>
      </c>
      <c r="AK500" s="323">
        <v>1.26</v>
      </c>
      <c r="AL500" s="323">
        <v>14.78</v>
      </c>
      <c r="AM500" s="323">
        <v>4.1478180925544748E-2</v>
      </c>
      <c r="AN500" s="323">
        <v>4.5642628544423657E-2</v>
      </c>
      <c r="AO500" s="323">
        <v>3.0945199715976357E-3</v>
      </c>
      <c r="AP500" s="323">
        <v>3.2086967689956432E-3</v>
      </c>
      <c r="AQ500" s="323">
        <v>9.0438180925544759E-2</v>
      </c>
      <c r="AR500" s="323">
        <v>9.4602628544423667E-2</v>
      </c>
      <c r="AS500" s="323">
        <v>5.4867019971597646E-2</v>
      </c>
      <c r="AT500" s="323">
        <v>5.8030196768995644E-2</v>
      </c>
      <c r="AU500" s="190">
        <v>261610604962978.53</v>
      </c>
      <c r="AV500" s="190">
        <v>287876550976068.75</v>
      </c>
      <c r="AW500" s="190">
        <v>156141706077780.56</v>
      </c>
      <c r="AX500" s="190">
        <v>161902780526758.16</v>
      </c>
      <c r="AY500" s="203">
        <v>14.8</v>
      </c>
      <c r="AZ500" s="239">
        <v>305.10000000000002</v>
      </c>
      <c r="BA500" s="203">
        <v>2008</v>
      </c>
      <c r="BB500" s="204">
        <v>39849</v>
      </c>
      <c r="BC500" s="203" t="s">
        <v>2053</v>
      </c>
    </row>
    <row r="501" spans="1:55" x14ac:dyDescent="0.2">
      <c r="A501" s="184" t="s">
        <v>2062</v>
      </c>
      <c r="B501" s="184" t="s">
        <v>2061</v>
      </c>
      <c r="C501" s="184" t="s">
        <v>723</v>
      </c>
      <c r="D501" s="185" t="s">
        <v>1043</v>
      </c>
      <c r="E501" s="184" t="s">
        <v>2063</v>
      </c>
      <c r="F501" s="184" t="s">
        <v>2064</v>
      </c>
      <c r="G501" s="186">
        <f>IF(ALECA_Input!$F$13="ICAO (3000ft)",'Aircraft Calc'!C$211,'Aircraft Calc'!G$211)</f>
        <v>0.7</v>
      </c>
      <c r="H501" s="186">
        <f>IF(ALECA_Input!$F$13="ICAO (3000ft)",'Aircraft Calc'!D$211,'Aircraft Calc'!H$211)</f>
        <v>2.2000000000000002</v>
      </c>
      <c r="I501" s="186">
        <f>IF(ALECA_Input!$F$13="ICAO (3000ft)",'Aircraft Calc'!E$211,'Aircraft Calc'!I$211)</f>
        <v>4</v>
      </c>
      <c r="J501" s="189">
        <v>1</v>
      </c>
      <c r="K501" s="187">
        <f t="shared" si="121"/>
        <v>650.11800000000005</v>
      </c>
      <c r="L501" s="187">
        <f t="shared" si="122"/>
        <v>13.864914000000001</v>
      </c>
      <c r="M501" s="187">
        <f t="shared" si="123"/>
        <v>9.9959999999999997E-3</v>
      </c>
      <c r="N501" s="187">
        <f t="shared" si="124"/>
        <v>0.31494203999999998</v>
      </c>
      <c r="O501" s="187">
        <f t="shared" si="125"/>
        <v>5.3167090566822631E-2</v>
      </c>
      <c r="P501" s="188">
        <f t="shared" si="126"/>
        <v>1.5834590074078963E+17</v>
      </c>
      <c r="Q501" s="187">
        <f t="shared" si="127"/>
        <v>15300</v>
      </c>
      <c r="R501" s="219">
        <f t="shared" si="128"/>
        <v>63.954000000000001</v>
      </c>
      <c r="S501" s="219">
        <f t="shared" si="129"/>
        <v>12.699</v>
      </c>
      <c r="T501" s="219">
        <f t="shared" si="130"/>
        <v>214.81199999999998</v>
      </c>
      <c r="U501" s="219">
        <f t="shared" si="131"/>
        <v>0.87653389056563336</v>
      </c>
      <c r="V501" s="188">
        <f t="shared" si="132"/>
        <v>2477112542059400</v>
      </c>
      <c r="W501" s="323">
        <v>3.0190000000000001</v>
      </c>
      <c r="X501" s="323">
        <v>2.4500000000000002</v>
      </c>
      <c r="Y501" s="323">
        <v>0.83299999999999996</v>
      </c>
      <c r="Z501" s="323">
        <v>0.255</v>
      </c>
      <c r="AA501" s="323">
        <v>31.4</v>
      </c>
      <c r="AB501" s="323">
        <v>22.84</v>
      </c>
      <c r="AC501" s="323">
        <v>12.49</v>
      </c>
      <c r="AD501" s="323">
        <v>4.18</v>
      </c>
      <c r="AE501" s="323">
        <v>0</v>
      </c>
      <c r="AF501" s="323">
        <v>0</v>
      </c>
      <c r="AG501" s="323">
        <v>0.05</v>
      </c>
      <c r="AH501" s="323">
        <v>0.83</v>
      </c>
      <c r="AI501" s="323">
        <v>0.18</v>
      </c>
      <c r="AJ501" s="323">
        <v>0.18</v>
      </c>
      <c r="AK501" s="323">
        <v>1.17</v>
      </c>
      <c r="AL501" s="323">
        <v>14.04</v>
      </c>
      <c r="AM501" s="323">
        <v>4.093570302769118E-2</v>
      </c>
      <c r="AN501" s="323">
        <v>4.6276489120580189E-2</v>
      </c>
      <c r="AO501" s="323">
        <v>3.0945199715976357E-3</v>
      </c>
      <c r="AP501" s="323">
        <v>3.2086967689956432E-3</v>
      </c>
      <c r="AQ501" s="323">
        <v>8.989570302769119E-2</v>
      </c>
      <c r="AR501" s="323">
        <v>9.5236489120580192E-2</v>
      </c>
      <c r="AS501" s="323">
        <v>5.4867019971597646E-2</v>
      </c>
      <c r="AT501" s="323">
        <v>5.7289796768995642E-2</v>
      </c>
      <c r="AU501" s="190">
        <v>258189095922086.25</v>
      </c>
      <c r="AV501" s="190">
        <v>291874427572637.81</v>
      </c>
      <c r="AW501" s="190">
        <v>156141706077780.56</v>
      </c>
      <c r="AX501" s="190">
        <v>161902780526758.16</v>
      </c>
      <c r="AY501" s="203">
        <v>15.5</v>
      </c>
      <c r="AZ501" s="239">
        <v>311.39999999999998</v>
      </c>
      <c r="BA501" s="203">
        <v>2008</v>
      </c>
      <c r="BB501" s="204">
        <v>39849</v>
      </c>
      <c r="BC501" s="203" t="s">
        <v>2053</v>
      </c>
    </row>
    <row r="502" spans="1:55" x14ac:dyDescent="0.2">
      <c r="A502" s="184" t="s">
        <v>654</v>
      </c>
      <c r="B502" s="184" t="s">
        <v>2065</v>
      </c>
      <c r="C502" s="184" t="s">
        <v>723</v>
      </c>
      <c r="D502" s="185" t="s">
        <v>1043</v>
      </c>
      <c r="E502" s="184" t="s">
        <v>402</v>
      </c>
      <c r="F502" s="184" t="s">
        <v>2066</v>
      </c>
      <c r="G502" s="186">
        <f>IF(ALECA_Input!$F$13="ICAO (3000ft)",'Aircraft Calc'!C$211,'Aircraft Calc'!G$211)</f>
        <v>0.7</v>
      </c>
      <c r="H502" s="186">
        <f>IF(ALECA_Input!$F$13="ICAO (3000ft)",'Aircraft Calc'!D$211,'Aircraft Calc'!H$211)</f>
        <v>2.2000000000000002</v>
      </c>
      <c r="I502" s="186">
        <f>IF(ALECA_Input!$F$13="ICAO (3000ft)",'Aircraft Calc'!E$211,'Aircraft Calc'!I$211)</f>
        <v>4</v>
      </c>
      <c r="J502" s="189">
        <v>1</v>
      </c>
      <c r="K502" s="187">
        <f t="shared" si="121"/>
        <v>176.53200000000001</v>
      </c>
      <c r="L502" s="187">
        <f t="shared" si="122"/>
        <v>2.3267373600000001</v>
      </c>
      <c r="M502" s="187">
        <f t="shared" si="123"/>
        <v>5.8527600000000003E-3</v>
      </c>
      <c r="N502" s="187">
        <f t="shared" si="124"/>
        <v>0.34099583999999999</v>
      </c>
      <c r="O502" s="187">
        <f t="shared" si="125"/>
        <v>9.6496647862872285E-3</v>
      </c>
      <c r="P502" s="188">
        <f t="shared" si="126"/>
        <v>1.251516821833296E+16</v>
      </c>
      <c r="Q502" s="187">
        <f t="shared" si="127"/>
        <v>5399.9999999999991</v>
      </c>
      <c r="R502" s="219">
        <f t="shared" si="128"/>
        <v>35.369999999999997</v>
      </c>
      <c r="S502" s="219">
        <f t="shared" si="129"/>
        <v>0.59399999999999997</v>
      </c>
      <c r="T502" s="219">
        <f t="shared" si="130"/>
        <v>115.93799999999999</v>
      </c>
      <c r="U502" s="219">
        <f t="shared" si="131"/>
        <v>0.2985567677357448</v>
      </c>
      <c r="V502" s="188">
        <f t="shared" si="132"/>
        <v>1539346350787541.3</v>
      </c>
      <c r="W502" s="323">
        <v>0.8</v>
      </c>
      <c r="X502" s="323">
        <v>0.66100000000000003</v>
      </c>
      <c r="Y502" s="323">
        <v>0.23200000000000001</v>
      </c>
      <c r="Z502" s="323">
        <v>0.09</v>
      </c>
      <c r="AA502" s="323">
        <v>17.760000000000002</v>
      </c>
      <c r="AB502" s="323">
        <v>14.18</v>
      </c>
      <c r="AC502" s="323">
        <v>8.85</v>
      </c>
      <c r="AD502" s="323">
        <v>6.55</v>
      </c>
      <c r="AE502" s="323">
        <v>0.03</v>
      </c>
      <c r="AF502" s="323">
        <v>0.03</v>
      </c>
      <c r="AG502" s="323">
        <v>0.04</v>
      </c>
      <c r="AH502" s="323">
        <v>0.11</v>
      </c>
      <c r="AI502" s="323">
        <v>0.22</v>
      </c>
      <c r="AJ502" s="323">
        <v>0.32</v>
      </c>
      <c r="AK502" s="323">
        <v>5.49</v>
      </c>
      <c r="AL502" s="323">
        <v>21.47</v>
      </c>
      <c r="AM502" s="323">
        <v>5.3282719929790842E-3</v>
      </c>
      <c r="AN502" s="323">
        <v>2.1198158225478507E-3</v>
      </c>
      <c r="AO502" s="323">
        <v>3.6374891733869695E-3</v>
      </c>
      <c r="AP502" s="323">
        <v>5.6495903214342259E-3</v>
      </c>
      <c r="AQ502" s="323">
        <v>5.7738271992979082E-2</v>
      </c>
      <c r="AR502" s="323">
        <v>5.3359815822547854E-2</v>
      </c>
      <c r="AS502" s="323">
        <v>5.4847489173386971E-2</v>
      </c>
      <c r="AT502" s="323">
        <v>5.528829032143423E-2</v>
      </c>
      <c r="AU502" s="190">
        <v>33606402893914.918</v>
      </c>
      <c r="AV502" s="190">
        <v>13370072827984.17</v>
      </c>
      <c r="AW502" s="190">
        <v>183538568367639.09</v>
      </c>
      <c r="AX502" s="190">
        <v>285064139034729.88</v>
      </c>
      <c r="AY502" s="203">
        <v>3.2</v>
      </c>
      <c r="AZ502" s="239">
        <v>120.4</v>
      </c>
      <c r="BA502" s="203">
        <v>2014</v>
      </c>
      <c r="BB502" s="204">
        <v>42460</v>
      </c>
      <c r="BC502" s="203" t="s">
        <v>716</v>
      </c>
    </row>
    <row r="503" spans="1:55" x14ac:dyDescent="0.2">
      <c r="A503" s="184" t="s">
        <v>2068</v>
      </c>
      <c r="B503" s="184" t="s">
        <v>2067</v>
      </c>
      <c r="C503" s="184" t="s">
        <v>723</v>
      </c>
      <c r="D503" s="185" t="s">
        <v>1043</v>
      </c>
      <c r="E503" s="184" t="s">
        <v>2069</v>
      </c>
      <c r="F503" s="184" t="s">
        <v>716</v>
      </c>
      <c r="G503" s="186">
        <f>IF(ALECA_Input!$F$13="ICAO (3000ft)",'Aircraft Calc'!C$211,'Aircraft Calc'!G$211)</f>
        <v>0.7</v>
      </c>
      <c r="H503" s="186">
        <f>IF(ALECA_Input!$F$13="ICAO (3000ft)",'Aircraft Calc'!D$211,'Aircraft Calc'!H$211)</f>
        <v>2.2000000000000002</v>
      </c>
      <c r="I503" s="186">
        <f>IF(ALECA_Input!$F$13="ICAO (3000ft)",'Aircraft Calc'!E$211,'Aircraft Calc'!I$211)</f>
        <v>4</v>
      </c>
      <c r="J503" s="189">
        <v>1</v>
      </c>
      <c r="K503" s="187">
        <f t="shared" si="121"/>
        <v>198.15600000000001</v>
      </c>
      <c r="L503" s="187">
        <f t="shared" si="122"/>
        <v>2.9712820799999999</v>
      </c>
      <c r="M503" s="187">
        <f t="shared" si="123"/>
        <v>6.5566800000000005E-3</v>
      </c>
      <c r="N503" s="187">
        <f t="shared" si="124"/>
        <v>0.30964139999999996</v>
      </c>
      <c r="O503" s="187">
        <f t="shared" si="125"/>
        <v>1.1365728062659258E-2</v>
      </c>
      <c r="P503" s="188">
        <f t="shared" si="126"/>
        <v>1.710565869654418E+16</v>
      </c>
      <c r="Q503" s="187">
        <f t="shared" si="127"/>
        <v>5640</v>
      </c>
      <c r="R503" s="219">
        <f t="shared" si="128"/>
        <v>38.239199999999997</v>
      </c>
      <c r="S503" s="219">
        <f t="shared" si="129"/>
        <v>0.39480000000000004</v>
      </c>
      <c r="T503" s="219">
        <f t="shared" si="130"/>
        <v>109.8672</v>
      </c>
      <c r="U503" s="219">
        <f t="shared" si="131"/>
        <v>0.31012293213083608</v>
      </c>
      <c r="V503" s="188">
        <f t="shared" si="132"/>
        <v>1592065767584140</v>
      </c>
      <c r="W503" s="323">
        <v>0.91</v>
      </c>
      <c r="X503" s="323">
        <v>0.748</v>
      </c>
      <c r="Y503" s="323">
        <v>0.255</v>
      </c>
      <c r="Z503" s="323">
        <v>9.4E-2</v>
      </c>
      <c r="AA503" s="323">
        <v>21.16</v>
      </c>
      <c r="AB503" s="323">
        <v>16.329999999999998</v>
      </c>
      <c r="AC503" s="323">
        <v>8.99</v>
      </c>
      <c r="AD503" s="323">
        <v>6.78</v>
      </c>
      <c r="AE503" s="323">
        <v>0.03</v>
      </c>
      <c r="AF503" s="323">
        <v>0.03</v>
      </c>
      <c r="AG503" s="323">
        <v>0.04</v>
      </c>
      <c r="AH503" s="323">
        <v>7.0000000000000007E-2</v>
      </c>
      <c r="AI503" s="323">
        <v>0.17</v>
      </c>
      <c r="AJ503" s="323">
        <v>0.25</v>
      </c>
      <c r="AK503" s="323">
        <v>4.55</v>
      </c>
      <c r="AL503" s="323">
        <v>19.48</v>
      </c>
      <c r="AM503" s="323">
        <v>1.5967371724425347E-2</v>
      </c>
      <c r="AN503" s="323">
        <v>3.4300193957077295E-3</v>
      </c>
      <c r="AO503" s="323">
        <v>3.6012071943974295E-3</v>
      </c>
      <c r="AP503" s="323">
        <v>5.5944354841907899E-3</v>
      </c>
      <c r="AQ503" s="323">
        <v>6.8377371724425345E-2</v>
      </c>
      <c r="AR503" s="323">
        <v>5.4670019395707738E-2</v>
      </c>
      <c r="AS503" s="323">
        <v>5.4811207194397429E-2</v>
      </c>
      <c r="AT503" s="323">
        <v>5.4986335484190796E-2</v>
      </c>
      <c r="AU503" s="190">
        <v>100709184522677.13</v>
      </c>
      <c r="AV503" s="190">
        <v>21633770554128.133</v>
      </c>
      <c r="AW503" s="190">
        <v>181707870827697.16</v>
      </c>
      <c r="AX503" s="190">
        <v>282281164465273.06</v>
      </c>
      <c r="AY503" s="203">
        <v>4</v>
      </c>
      <c r="AZ503" s="239">
        <v>134</v>
      </c>
      <c r="BA503" s="203">
        <v>2014</v>
      </c>
      <c r="BB503" s="204">
        <v>42460</v>
      </c>
      <c r="BC503" s="203" t="s">
        <v>716</v>
      </c>
    </row>
    <row r="504" spans="1:55" x14ac:dyDescent="0.2">
      <c r="A504" s="184" t="s">
        <v>656</v>
      </c>
      <c r="B504" s="184" t="s">
        <v>2070</v>
      </c>
      <c r="C504" s="184" t="s">
        <v>723</v>
      </c>
      <c r="D504" s="185" t="s">
        <v>1043</v>
      </c>
      <c r="E504" s="184" t="s">
        <v>403</v>
      </c>
      <c r="F504" s="184" t="s">
        <v>2071</v>
      </c>
      <c r="G504" s="186">
        <f>IF(ALECA_Input!$F$13="ICAO (3000ft)",'Aircraft Calc'!C$211,'Aircraft Calc'!G$211)</f>
        <v>0.7</v>
      </c>
      <c r="H504" s="186">
        <f>IF(ALECA_Input!$F$13="ICAO (3000ft)",'Aircraft Calc'!D$211,'Aircraft Calc'!H$211)</f>
        <v>2.2000000000000002</v>
      </c>
      <c r="I504" s="186">
        <f>IF(ALECA_Input!$F$13="ICAO (3000ft)",'Aircraft Calc'!E$211,'Aircraft Calc'!I$211)</f>
        <v>4</v>
      </c>
      <c r="J504" s="189">
        <v>1</v>
      </c>
      <c r="K504" s="187">
        <f t="shared" si="121"/>
        <v>220.434</v>
      </c>
      <c r="L504" s="187">
        <f t="shared" si="122"/>
        <v>3.7892051400000004</v>
      </c>
      <c r="M504" s="187">
        <f t="shared" si="123"/>
        <v>7.2802199999999996E-3</v>
      </c>
      <c r="N504" s="187">
        <f t="shared" si="124"/>
        <v>0.26768964000000001</v>
      </c>
      <c r="O504" s="187">
        <f t="shared" si="125"/>
        <v>1.4101647665524637E-2</v>
      </c>
      <c r="P504" s="188">
        <f t="shared" si="126"/>
        <v>2.7899553021048508E+16</v>
      </c>
      <c r="Q504" s="187">
        <f t="shared" si="127"/>
        <v>5940</v>
      </c>
      <c r="R504" s="219">
        <f t="shared" si="128"/>
        <v>41.461200000000005</v>
      </c>
      <c r="S504" s="219">
        <f t="shared" si="129"/>
        <v>0.29700000000000004</v>
      </c>
      <c r="T504" s="219">
        <f t="shared" si="130"/>
        <v>106.26660000000001</v>
      </c>
      <c r="U504" s="219">
        <f t="shared" si="131"/>
        <v>0.3255610623004408</v>
      </c>
      <c r="V504" s="188">
        <f t="shared" si="132"/>
        <v>1660362812532626.5</v>
      </c>
      <c r="W504" s="323">
        <v>1.0229999999999999</v>
      </c>
      <c r="X504" s="323">
        <v>0.83899999999999997</v>
      </c>
      <c r="Y504" s="323">
        <v>0.27800000000000002</v>
      </c>
      <c r="Z504" s="323">
        <v>9.9000000000000005E-2</v>
      </c>
      <c r="AA504" s="323">
        <v>25.23</v>
      </c>
      <c r="AB504" s="323">
        <v>18.920000000000002</v>
      </c>
      <c r="AC504" s="323">
        <v>9.14</v>
      </c>
      <c r="AD504" s="323">
        <v>6.98</v>
      </c>
      <c r="AE504" s="323">
        <v>0.03</v>
      </c>
      <c r="AF504" s="323">
        <v>0.03</v>
      </c>
      <c r="AG504" s="323">
        <v>0.04</v>
      </c>
      <c r="AH504" s="323">
        <v>0.05</v>
      </c>
      <c r="AI504" s="323">
        <v>0.14000000000000001</v>
      </c>
      <c r="AJ504" s="323">
        <v>0.2</v>
      </c>
      <c r="AK504" s="323">
        <v>3.59</v>
      </c>
      <c r="AL504" s="323">
        <v>17.89</v>
      </c>
      <c r="AM504" s="323">
        <v>3.2568968153512283E-2</v>
      </c>
      <c r="AN504" s="323">
        <v>1.0123064720270747E-2</v>
      </c>
      <c r="AO504" s="323">
        <v>3.5652492236253799E-3</v>
      </c>
      <c r="AP504" s="323">
        <v>5.5397596465388563E-3</v>
      </c>
      <c r="AQ504" s="323">
        <v>8.4978968153512274E-2</v>
      </c>
      <c r="AR504" s="323">
        <v>6.1363064720270748E-2</v>
      </c>
      <c r="AS504" s="323">
        <v>5.4775249223625387E-2</v>
      </c>
      <c r="AT504" s="323">
        <v>5.4808259646538855E-2</v>
      </c>
      <c r="AU504" s="190">
        <v>205418542268158.25</v>
      </c>
      <c r="AV504" s="190">
        <v>63848052794389.367</v>
      </c>
      <c r="AW504" s="190">
        <v>179893521928683.88</v>
      </c>
      <c r="AX504" s="190">
        <v>279522359012226.66</v>
      </c>
      <c r="AY504" s="203">
        <v>4.9000000000000004</v>
      </c>
      <c r="AZ504" s="239">
        <v>147.30000000000001</v>
      </c>
      <c r="BA504" s="203">
        <v>2014</v>
      </c>
      <c r="BB504" s="204">
        <v>42460</v>
      </c>
      <c r="BC504" s="203" t="s">
        <v>716</v>
      </c>
    </row>
    <row r="505" spans="1:55" x14ac:dyDescent="0.2">
      <c r="A505" s="184" t="s">
        <v>2073</v>
      </c>
      <c r="B505" s="184" t="s">
        <v>2072</v>
      </c>
      <c r="C505" s="184" t="s">
        <v>723</v>
      </c>
      <c r="D505" s="185" t="s">
        <v>1043</v>
      </c>
      <c r="E505" s="184" t="s">
        <v>2074</v>
      </c>
      <c r="F505" s="184" t="s">
        <v>716</v>
      </c>
      <c r="G505" s="186">
        <f>IF(ALECA_Input!$F$13="ICAO (3000ft)",'Aircraft Calc'!C$211,'Aircraft Calc'!G$211)</f>
        <v>0.7</v>
      </c>
      <c r="H505" s="186">
        <f>IF(ALECA_Input!$F$13="ICAO (3000ft)",'Aircraft Calc'!D$211,'Aircraft Calc'!H$211)</f>
        <v>2.2000000000000002</v>
      </c>
      <c r="I505" s="186">
        <f>IF(ALECA_Input!$F$13="ICAO (3000ft)",'Aircraft Calc'!E$211,'Aircraft Calc'!I$211)</f>
        <v>4</v>
      </c>
      <c r="J505" s="189">
        <v>1</v>
      </c>
      <c r="K505" s="187">
        <f t="shared" si="121"/>
        <v>78.353999999999999</v>
      </c>
      <c r="L505" s="187">
        <f t="shared" si="122"/>
        <v>1.08285126</v>
      </c>
      <c r="M505" s="187">
        <f t="shared" si="123"/>
        <v>0</v>
      </c>
      <c r="N505" s="187">
        <f t="shared" si="124"/>
        <v>6.9812879999999994E-2</v>
      </c>
      <c r="O505" s="187">
        <f t="shared" si="125"/>
        <v>5.1312064653955321E-3</v>
      </c>
      <c r="P505" s="188">
        <f t="shared" si="126"/>
        <v>2.3564548197419132E+16</v>
      </c>
      <c r="Q505" s="187">
        <f t="shared" si="127"/>
        <v>2760</v>
      </c>
      <c r="R505" s="219">
        <f t="shared" si="128"/>
        <v>11.9232</v>
      </c>
      <c r="S505" s="219">
        <f t="shared" si="129"/>
        <v>2.0699999999999998</v>
      </c>
      <c r="T505" s="219">
        <f t="shared" si="130"/>
        <v>73.83</v>
      </c>
      <c r="U505" s="219">
        <f t="shared" si="131"/>
        <v>0.44226948077832579</v>
      </c>
      <c r="V505" s="188">
        <f t="shared" si="132"/>
        <v>1.4853069023713334E+16</v>
      </c>
      <c r="W505" s="323">
        <v>0.35499999999999998</v>
      </c>
      <c r="X505" s="323">
        <v>0.27700000000000002</v>
      </c>
      <c r="Y505" s="323">
        <v>0.112</v>
      </c>
      <c r="Z505" s="323">
        <v>4.5999999999999999E-2</v>
      </c>
      <c r="AA505" s="323">
        <v>20.61</v>
      </c>
      <c r="AB505" s="323">
        <v>15.44</v>
      </c>
      <c r="AC505" s="323">
        <v>7.85</v>
      </c>
      <c r="AD505" s="323">
        <v>4.32</v>
      </c>
      <c r="AE505" s="323">
        <v>0</v>
      </c>
      <c r="AF505" s="323">
        <v>0</v>
      </c>
      <c r="AG505" s="323">
        <v>0</v>
      </c>
      <c r="AH505" s="323">
        <v>0.75</v>
      </c>
      <c r="AI505" s="323">
        <v>0</v>
      </c>
      <c r="AJ505" s="323">
        <v>0.02</v>
      </c>
      <c r="AK505" s="323">
        <v>2.57</v>
      </c>
      <c r="AL505" s="323">
        <v>26.75</v>
      </c>
      <c r="AM505" s="323">
        <v>1.5652563690967455E-2</v>
      </c>
      <c r="AN505" s="323">
        <v>1.949675743422712E-2</v>
      </c>
      <c r="AO505" s="323">
        <v>1.2973789506626731E-2</v>
      </c>
      <c r="AP505" s="323">
        <v>0.10665506549939342</v>
      </c>
      <c r="AQ505" s="323">
        <v>6.4612563690967462E-2</v>
      </c>
      <c r="AR505" s="323">
        <v>6.845675743422712E-2</v>
      </c>
      <c r="AS505" s="323">
        <v>6.1933789506626737E-2</v>
      </c>
      <c r="AT505" s="323">
        <v>0.16024256549939342</v>
      </c>
      <c r="AU505" s="190">
        <v>98723631679172.25</v>
      </c>
      <c r="AV505" s="190">
        <v>122969676908935.42</v>
      </c>
      <c r="AW505" s="190">
        <v>654624835661620.5</v>
      </c>
      <c r="AX505" s="190">
        <v>5381546747722223</v>
      </c>
      <c r="AY505" s="203">
        <v>1.4</v>
      </c>
      <c r="AZ505" s="239">
        <v>29.9</v>
      </c>
      <c r="BA505" s="203">
        <v>2014</v>
      </c>
      <c r="BB505" s="204">
        <v>42460</v>
      </c>
      <c r="BC505" s="203" t="s">
        <v>716</v>
      </c>
    </row>
    <row r="506" spans="1:55" x14ac:dyDescent="0.2">
      <c r="A506" s="184" t="s">
        <v>3648</v>
      </c>
      <c r="B506" s="184" t="s">
        <v>2075</v>
      </c>
      <c r="C506" s="184" t="s">
        <v>723</v>
      </c>
      <c r="D506" s="185" t="s">
        <v>1043</v>
      </c>
      <c r="E506" s="184" t="s">
        <v>406</v>
      </c>
      <c r="F506" s="184" t="s">
        <v>406</v>
      </c>
      <c r="G506" s="186">
        <f>IF(ALECA_Input!$F$13="ICAO (3000ft)",'Aircraft Calc'!C$211,'Aircraft Calc'!G$211)</f>
        <v>0.7</v>
      </c>
      <c r="H506" s="186">
        <f>IF(ALECA_Input!$F$13="ICAO (3000ft)",'Aircraft Calc'!D$211,'Aircraft Calc'!H$211)</f>
        <v>2.2000000000000002</v>
      </c>
      <c r="I506" s="186">
        <f>IF(ALECA_Input!$F$13="ICAO (3000ft)",'Aircraft Calc'!E$211,'Aircraft Calc'!I$211)</f>
        <v>4</v>
      </c>
      <c r="J506" s="186">
        <v>1</v>
      </c>
      <c r="K506" s="187">
        <f t="shared" si="121"/>
        <v>174.18</v>
      </c>
      <c r="L506" s="187">
        <f t="shared" si="122"/>
        <v>3.1956599999999997</v>
      </c>
      <c r="M506" s="187">
        <f t="shared" si="123"/>
        <v>5.5200000000000006E-3</v>
      </c>
      <c r="N506" s="187">
        <f t="shared" si="124"/>
        <v>0.10794000000000001</v>
      </c>
      <c r="O506" s="187">
        <f t="shared" si="125"/>
        <v>1.0268021063410538E-2</v>
      </c>
      <c r="P506" s="188">
        <f t="shared" si="126"/>
        <v>2.8302460766663544E+16</v>
      </c>
      <c r="Q506" s="187">
        <f t="shared" si="127"/>
        <v>4800</v>
      </c>
      <c r="R506" s="219">
        <f t="shared" si="128"/>
        <v>28.799999999999997</v>
      </c>
      <c r="S506" s="219">
        <f t="shared" si="129"/>
        <v>0.48</v>
      </c>
      <c r="T506" s="219">
        <f t="shared" si="130"/>
        <v>80.16</v>
      </c>
      <c r="U506" s="219">
        <f t="shared" si="131"/>
        <v>0.27314231957321528</v>
      </c>
      <c r="V506" s="188">
        <f t="shared" si="132"/>
        <v>1993217464722018.8</v>
      </c>
      <c r="W506" s="323">
        <v>0.79</v>
      </c>
      <c r="X506" s="323">
        <v>0.65</v>
      </c>
      <c r="Y506" s="323">
        <v>0.23</v>
      </c>
      <c r="Z506" s="323">
        <v>0.08</v>
      </c>
      <c r="AA506" s="323">
        <v>26</v>
      </c>
      <c r="AB506" s="323">
        <v>20.5</v>
      </c>
      <c r="AC506" s="323">
        <v>10.4</v>
      </c>
      <c r="AD506" s="323">
        <v>6</v>
      </c>
      <c r="AE506" s="323">
        <v>0</v>
      </c>
      <c r="AF506" s="323">
        <v>0</v>
      </c>
      <c r="AG506" s="323">
        <v>0.1</v>
      </c>
      <c r="AH506" s="323">
        <v>0.1</v>
      </c>
      <c r="AI506" s="323">
        <v>0</v>
      </c>
      <c r="AJ506" s="323">
        <v>0.1</v>
      </c>
      <c r="AK506" s="323">
        <v>1.8</v>
      </c>
      <c r="AL506" s="323">
        <v>16.7</v>
      </c>
      <c r="AM506" s="323">
        <v>1.377905129515211E-2</v>
      </c>
      <c r="AN506" s="323">
        <v>7.1784715007292034E-3</v>
      </c>
      <c r="AO506" s="323">
        <v>6.4595378020801753E-3</v>
      </c>
      <c r="AP506" s="323">
        <v>7.3276499110865225E-3</v>
      </c>
      <c r="AQ506" s="323">
        <v>6.2739051295152101E-2</v>
      </c>
      <c r="AR506" s="323">
        <v>5.6138471500729203E-2</v>
      </c>
      <c r="AS506" s="323">
        <v>6.1044537802080183E-2</v>
      </c>
      <c r="AT506" s="323">
        <v>5.690464991108652E-2</v>
      </c>
      <c r="AU506" s="190">
        <v>90637197369146.297</v>
      </c>
      <c r="AV506" s="190">
        <v>59308905837955.813</v>
      </c>
      <c r="AW506" s="190">
        <v>366058232555410.5</v>
      </c>
      <c r="AX506" s="190">
        <v>415253638483753.94</v>
      </c>
      <c r="AY506" s="203">
        <v>4.0999999999999996</v>
      </c>
      <c r="AZ506" s="239">
        <v>108.53</v>
      </c>
      <c r="BA506" s="203">
        <v>2018</v>
      </c>
      <c r="BB506" s="204">
        <v>43693</v>
      </c>
      <c r="BC506" s="203" t="s">
        <v>716</v>
      </c>
    </row>
    <row r="507" spans="1:55" x14ac:dyDescent="0.2">
      <c r="A507" s="184" t="s">
        <v>3649</v>
      </c>
      <c r="B507" s="184" t="s">
        <v>2076</v>
      </c>
      <c r="C507" s="184" t="s">
        <v>723</v>
      </c>
      <c r="D507" s="185" t="s">
        <v>1043</v>
      </c>
      <c r="E507" s="184" t="s">
        <v>405</v>
      </c>
      <c r="F507" s="184" t="s">
        <v>405</v>
      </c>
      <c r="G507" s="186">
        <f>IF(ALECA_Input!$F$13="ICAO (3000ft)",'Aircraft Calc'!C$211,'Aircraft Calc'!G$211)</f>
        <v>0.7</v>
      </c>
      <c r="H507" s="186">
        <f>IF(ALECA_Input!$F$13="ICAO (3000ft)",'Aircraft Calc'!D$211,'Aircraft Calc'!H$211)</f>
        <v>2.2000000000000002</v>
      </c>
      <c r="I507" s="186">
        <f>IF(ALECA_Input!$F$13="ICAO (3000ft)",'Aircraft Calc'!E$211,'Aircraft Calc'!I$211)</f>
        <v>4</v>
      </c>
      <c r="J507" s="186">
        <v>1</v>
      </c>
      <c r="K507" s="187">
        <f t="shared" si="121"/>
        <v>174.18</v>
      </c>
      <c r="L507" s="187">
        <f t="shared" si="122"/>
        <v>3.1956599999999997</v>
      </c>
      <c r="M507" s="187">
        <f t="shared" si="123"/>
        <v>5.5200000000000006E-3</v>
      </c>
      <c r="N507" s="187">
        <f t="shared" si="124"/>
        <v>0.10794000000000001</v>
      </c>
      <c r="O507" s="187">
        <f t="shared" si="125"/>
        <v>1.0268021063410538E-2</v>
      </c>
      <c r="P507" s="188">
        <f t="shared" si="126"/>
        <v>2.8302460766663544E+16</v>
      </c>
      <c r="Q507" s="187">
        <f t="shared" si="127"/>
        <v>4800</v>
      </c>
      <c r="R507" s="219">
        <f t="shared" si="128"/>
        <v>28.799999999999997</v>
      </c>
      <c r="S507" s="219">
        <f t="shared" si="129"/>
        <v>0.48</v>
      </c>
      <c r="T507" s="219">
        <f t="shared" si="130"/>
        <v>80.16</v>
      </c>
      <c r="U507" s="219">
        <f t="shared" si="131"/>
        <v>0.27314231957321528</v>
      </c>
      <c r="V507" s="188">
        <f t="shared" si="132"/>
        <v>1993217464722018.8</v>
      </c>
      <c r="W507" s="323">
        <v>0.79</v>
      </c>
      <c r="X507" s="323">
        <v>0.65</v>
      </c>
      <c r="Y507" s="323">
        <v>0.23</v>
      </c>
      <c r="Z507" s="323">
        <v>0.08</v>
      </c>
      <c r="AA507" s="323">
        <v>26</v>
      </c>
      <c r="AB507" s="323">
        <v>20.5</v>
      </c>
      <c r="AC507" s="323">
        <v>10.4</v>
      </c>
      <c r="AD507" s="323">
        <v>6</v>
      </c>
      <c r="AE507" s="323">
        <v>0</v>
      </c>
      <c r="AF507" s="323">
        <v>0</v>
      </c>
      <c r="AG507" s="323">
        <v>0.1</v>
      </c>
      <c r="AH507" s="323">
        <v>0.1</v>
      </c>
      <c r="AI507" s="323">
        <v>0</v>
      </c>
      <c r="AJ507" s="323">
        <v>0.1</v>
      </c>
      <c r="AK507" s="323">
        <v>1.8</v>
      </c>
      <c r="AL507" s="323">
        <v>16.7</v>
      </c>
      <c r="AM507" s="323">
        <v>1.377905129515211E-2</v>
      </c>
      <c r="AN507" s="323">
        <v>7.1784715007292034E-3</v>
      </c>
      <c r="AO507" s="323">
        <v>6.4595378020801753E-3</v>
      </c>
      <c r="AP507" s="323">
        <v>7.3276499110865225E-3</v>
      </c>
      <c r="AQ507" s="323">
        <v>6.2739051295152101E-2</v>
      </c>
      <c r="AR507" s="323">
        <v>5.6138471500729203E-2</v>
      </c>
      <c r="AS507" s="323">
        <v>6.1044537802080183E-2</v>
      </c>
      <c r="AT507" s="323">
        <v>5.690464991108652E-2</v>
      </c>
      <c r="AU507" s="190">
        <v>90637197369146.297</v>
      </c>
      <c r="AV507" s="190">
        <v>59308905837955.813</v>
      </c>
      <c r="AW507" s="190">
        <v>366058232555410.5</v>
      </c>
      <c r="AX507" s="190">
        <v>415253638483753.94</v>
      </c>
      <c r="AY507" s="203">
        <v>4.0999999999999996</v>
      </c>
      <c r="AZ507" s="239">
        <v>108.53</v>
      </c>
      <c r="BA507" s="203">
        <v>2018</v>
      </c>
      <c r="BB507" s="204">
        <v>43693</v>
      </c>
      <c r="BC507" s="203" t="s">
        <v>716</v>
      </c>
    </row>
    <row r="508" spans="1:55" x14ac:dyDescent="0.2">
      <c r="A508" s="184" t="s">
        <v>3650</v>
      </c>
      <c r="B508" s="184" t="s">
        <v>2077</v>
      </c>
      <c r="C508" s="184" t="s">
        <v>723</v>
      </c>
      <c r="D508" s="185" t="s">
        <v>1043</v>
      </c>
      <c r="E508" s="184" t="s">
        <v>2078</v>
      </c>
      <c r="F508" s="184" t="s">
        <v>2078</v>
      </c>
      <c r="G508" s="186">
        <f>IF(ALECA_Input!$F$13="ICAO (3000ft)",'Aircraft Calc'!C$211,'Aircraft Calc'!G$211)</f>
        <v>0.7</v>
      </c>
      <c r="H508" s="186">
        <f>IF(ALECA_Input!$F$13="ICAO (3000ft)",'Aircraft Calc'!D$211,'Aircraft Calc'!H$211)</f>
        <v>2.2000000000000002</v>
      </c>
      <c r="I508" s="186">
        <f>IF(ALECA_Input!$F$13="ICAO (3000ft)",'Aircraft Calc'!E$211,'Aircraft Calc'!I$211)</f>
        <v>4</v>
      </c>
      <c r="J508" s="186">
        <v>1</v>
      </c>
      <c r="K508" s="187">
        <f t="shared" si="121"/>
        <v>155.94</v>
      </c>
      <c r="L508" s="187">
        <f t="shared" si="122"/>
        <v>2.535234</v>
      </c>
      <c r="M508" s="187">
        <f t="shared" si="123"/>
        <v>5.0400000000000002E-3</v>
      </c>
      <c r="N508" s="187">
        <f t="shared" si="124"/>
        <v>0.126</v>
      </c>
      <c r="O508" s="187">
        <f t="shared" si="125"/>
        <v>8.8637649092021646E-3</v>
      </c>
      <c r="P508" s="188">
        <f t="shared" si="126"/>
        <v>2.3207334844557564E+16</v>
      </c>
      <c r="Q508" s="187">
        <f t="shared" si="127"/>
        <v>4200</v>
      </c>
      <c r="R508" s="219">
        <f t="shared" si="128"/>
        <v>23.52</v>
      </c>
      <c r="S508" s="219">
        <f t="shared" si="129"/>
        <v>0.42000000000000004</v>
      </c>
      <c r="T508" s="219">
        <f t="shared" si="130"/>
        <v>81.06</v>
      </c>
      <c r="U508" s="219">
        <f t="shared" si="131"/>
        <v>0.2389995296265634</v>
      </c>
      <c r="V508" s="188">
        <f t="shared" si="132"/>
        <v>1744065281631766.5</v>
      </c>
      <c r="W508" s="323">
        <v>0.69</v>
      </c>
      <c r="X508" s="323">
        <v>0.57999999999999996</v>
      </c>
      <c r="Y508" s="323">
        <v>0.21</v>
      </c>
      <c r="Z508" s="323">
        <v>7.0000000000000007E-2</v>
      </c>
      <c r="AA508" s="323">
        <v>22.1</v>
      </c>
      <c r="AB508" s="323">
        <v>18.100000000000001</v>
      </c>
      <c r="AC508" s="323">
        <v>10.1</v>
      </c>
      <c r="AD508" s="323">
        <v>5.6</v>
      </c>
      <c r="AE508" s="323">
        <v>0</v>
      </c>
      <c r="AF508" s="323">
        <v>0</v>
      </c>
      <c r="AG508" s="323">
        <v>0.1</v>
      </c>
      <c r="AH508" s="323">
        <v>0.1</v>
      </c>
      <c r="AI508" s="323">
        <v>0</v>
      </c>
      <c r="AJ508" s="323">
        <v>0</v>
      </c>
      <c r="AK508" s="323">
        <v>2.5</v>
      </c>
      <c r="AL508" s="323">
        <v>19.3</v>
      </c>
      <c r="AM508" s="323">
        <v>7.4476509940560711E-3</v>
      </c>
      <c r="AN508" s="323">
        <v>5.2775454306371325E-3</v>
      </c>
      <c r="AO508" s="323">
        <v>6.4595378020801753E-3</v>
      </c>
      <c r="AP508" s="323">
        <v>7.3276499110865225E-3</v>
      </c>
      <c r="AQ508" s="323">
        <v>5.640765099405607E-2</v>
      </c>
      <c r="AR508" s="323">
        <v>5.4237545430637128E-2</v>
      </c>
      <c r="AS508" s="323">
        <v>6.1044537802080183E-2</v>
      </c>
      <c r="AT508" s="323">
        <v>5.690464991108652E-2</v>
      </c>
      <c r="AU508" s="190">
        <v>48989890423172.773</v>
      </c>
      <c r="AV508" s="190">
        <v>43603355529014.211</v>
      </c>
      <c r="AW508" s="190">
        <v>366058232555410.5</v>
      </c>
      <c r="AX508" s="190">
        <v>415253638483753.94</v>
      </c>
      <c r="AY508" s="203">
        <v>3.2</v>
      </c>
      <c r="AZ508" s="239">
        <v>97.72</v>
      </c>
      <c r="BA508" s="203">
        <v>2018</v>
      </c>
      <c r="BB508" s="204">
        <v>43693</v>
      </c>
      <c r="BC508" s="203" t="s">
        <v>716</v>
      </c>
    </row>
    <row r="509" spans="1:55" x14ac:dyDescent="0.2">
      <c r="A509" s="184" t="s">
        <v>3653</v>
      </c>
      <c r="B509" s="184" t="s">
        <v>2079</v>
      </c>
      <c r="C509" s="184" t="s">
        <v>723</v>
      </c>
      <c r="D509" s="185" t="s">
        <v>1043</v>
      </c>
      <c r="E509" s="184" t="s">
        <v>2080</v>
      </c>
      <c r="F509" s="184" t="s">
        <v>2080</v>
      </c>
      <c r="G509" s="186">
        <f>IF(ALECA_Input!$F$13="ICAO (3000ft)",'Aircraft Calc'!C$211,'Aircraft Calc'!G$211)</f>
        <v>0.7</v>
      </c>
      <c r="H509" s="186">
        <f>IF(ALECA_Input!$F$13="ICAO (3000ft)",'Aircraft Calc'!D$211,'Aircraft Calc'!H$211)</f>
        <v>2.2000000000000002</v>
      </c>
      <c r="I509" s="186">
        <f>IF(ALECA_Input!$F$13="ICAO (3000ft)",'Aircraft Calc'!E$211,'Aircraft Calc'!I$211)</f>
        <v>4</v>
      </c>
      <c r="J509" s="186">
        <v>1</v>
      </c>
      <c r="K509" s="187">
        <f t="shared" si="121"/>
        <v>140.28</v>
      </c>
      <c r="L509" s="187">
        <f t="shared" si="122"/>
        <v>2.0966880000000008</v>
      </c>
      <c r="M509" s="187">
        <f t="shared" si="123"/>
        <v>4.5600000000000007E-3</v>
      </c>
      <c r="N509" s="187">
        <f t="shared" si="124"/>
        <v>0.15048</v>
      </c>
      <c r="O509" s="187">
        <f t="shared" si="125"/>
        <v>7.8464322424178223E-3</v>
      </c>
      <c r="P509" s="188">
        <f t="shared" si="126"/>
        <v>2.0010044725621952E+16</v>
      </c>
      <c r="Q509" s="187">
        <f t="shared" si="127"/>
        <v>4200</v>
      </c>
      <c r="R509" s="219">
        <f t="shared" si="128"/>
        <v>22.26</v>
      </c>
      <c r="S509" s="219">
        <f t="shared" si="129"/>
        <v>0.84000000000000008</v>
      </c>
      <c r="T509" s="219">
        <f t="shared" si="130"/>
        <v>89.88</v>
      </c>
      <c r="U509" s="219">
        <f t="shared" si="131"/>
        <v>0.23975449851882141</v>
      </c>
      <c r="V509" s="188">
        <f t="shared" si="132"/>
        <v>1639995803890908</v>
      </c>
      <c r="W509" s="323">
        <v>0.62</v>
      </c>
      <c r="X509" s="323">
        <v>0.52</v>
      </c>
      <c r="Y509" s="323">
        <v>0.19</v>
      </c>
      <c r="Z509" s="323">
        <v>7.0000000000000007E-2</v>
      </c>
      <c r="AA509" s="323">
        <v>19.600000000000001</v>
      </c>
      <c r="AB509" s="323">
        <v>16.600000000000001</v>
      </c>
      <c r="AC509" s="323">
        <v>9.8000000000000007</v>
      </c>
      <c r="AD509" s="323">
        <v>5.3</v>
      </c>
      <c r="AE509" s="323">
        <v>0</v>
      </c>
      <c r="AF509" s="323">
        <v>0</v>
      </c>
      <c r="AG509" s="323">
        <v>0.1</v>
      </c>
      <c r="AH509" s="323">
        <v>0.2</v>
      </c>
      <c r="AI509" s="323">
        <v>0</v>
      </c>
      <c r="AJ509" s="323">
        <v>0</v>
      </c>
      <c r="AK509" s="323">
        <v>3.3</v>
      </c>
      <c r="AL509" s="323">
        <v>21.4</v>
      </c>
      <c r="AM509" s="323">
        <v>4.8414930960199659E-3</v>
      </c>
      <c r="AN509" s="323">
        <v>4.3880541728235148E-3</v>
      </c>
      <c r="AO509" s="323">
        <v>6.4595378020801753E-3</v>
      </c>
      <c r="AP509" s="323">
        <v>6.8904044092431855E-3</v>
      </c>
      <c r="AQ509" s="323">
        <v>5.3801493096019962E-2</v>
      </c>
      <c r="AR509" s="323">
        <v>5.3348054172823518E-2</v>
      </c>
      <c r="AS509" s="323">
        <v>6.1044537802080183E-2</v>
      </c>
      <c r="AT509" s="323">
        <v>5.7084404409243193E-2</v>
      </c>
      <c r="AU509" s="190">
        <v>31846848952489.996</v>
      </c>
      <c r="AV509" s="190">
        <v>36254332377220.156</v>
      </c>
      <c r="AW509" s="190">
        <v>366058232555410.5</v>
      </c>
      <c r="AX509" s="190">
        <v>390475191402597.13</v>
      </c>
      <c r="AY509" s="203">
        <v>2.7</v>
      </c>
      <c r="AZ509" s="239">
        <v>87.96</v>
      </c>
      <c r="BA509" s="203">
        <v>2018</v>
      </c>
      <c r="BB509" s="204">
        <v>43693</v>
      </c>
      <c r="BC509" s="203" t="s">
        <v>716</v>
      </c>
    </row>
    <row r="510" spans="1:55" x14ac:dyDescent="0.2">
      <c r="A510" s="184" t="s">
        <v>3651</v>
      </c>
      <c r="B510" s="184" t="s">
        <v>3654</v>
      </c>
      <c r="C510" s="184" t="s">
        <v>723</v>
      </c>
      <c r="D510" s="185" t="s">
        <v>1043</v>
      </c>
      <c r="E510" s="184" t="s">
        <v>3660</v>
      </c>
      <c r="F510" s="184" t="s">
        <v>3660</v>
      </c>
      <c r="G510" s="186">
        <f>IF(ALECA_Input!$F$13="ICAO (3000ft)",'Aircraft Calc'!C$211,'Aircraft Calc'!G$211)</f>
        <v>0.7</v>
      </c>
      <c r="H510" s="186">
        <f>IF(ALECA_Input!$F$13="ICAO (3000ft)",'Aircraft Calc'!D$211,'Aircraft Calc'!H$211)</f>
        <v>2.2000000000000002</v>
      </c>
      <c r="I510" s="186">
        <f>IF(ALECA_Input!$F$13="ICAO (3000ft)",'Aircraft Calc'!E$211,'Aircraft Calc'!I$211)</f>
        <v>4</v>
      </c>
      <c r="J510" s="186">
        <v>1</v>
      </c>
      <c r="K510" s="187">
        <f t="shared" ref="K510:K513" si="133">(G510*W510*60+H510*X510*60+I510*Y510*60)</f>
        <v>146.58000000000001</v>
      </c>
      <c r="L510" s="187">
        <f t="shared" ref="L510:L513" si="134">(G510*W510*60*AA510+H510*X510*60*AB510+I510*Y510*60*AC510)/1000</f>
        <v>2.2067760000000005</v>
      </c>
      <c r="M510" s="187">
        <f t="shared" ref="M510:M513" si="135">(G510*W510*60*AE510+H510*X510*60*AF510+I510*Y510*60*AG510)/1000</f>
        <v>4.8000000000000004E-3</v>
      </c>
      <c r="N510" s="187">
        <f t="shared" ref="N510:N513" si="136">(G510*W510*60*AI510+H510*X510*60*AJ510+I510*Y510*60*AK510)/1000</f>
        <v>0.15839999999999999</v>
      </c>
      <c r="O510" s="187">
        <f t="shared" ref="O510:O513" si="137">(G510*W510*60*AQ510+H510*X510*60*AR510+I510*Y510*60*AS510)/1000</f>
        <v>8.2482084431176814E-3</v>
      </c>
      <c r="P510" s="188">
        <f t="shared" ref="P510:P513" si="138">(G510*W510*60*AU510+H510*X510*60*AV510+I510*Y510*60*AW510)</f>
        <v>2.1364647206411252E+16</v>
      </c>
      <c r="Q510" s="187">
        <f t="shared" ref="Q510:Q513" si="139">J510*Z510*60*1000</f>
        <v>4200</v>
      </c>
      <c r="R510" s="219">
        <f t="shared" ref="R510:R513" si="140">J510*Z510*60*AD510</f>
        <v>21.840000000000003</v>
      </c>
      <c r="S510" s="219">
        <f t="shared" ref="S510:S513" si="141">J510*Z510*60*AH510</f>
        <v>0.84000000000000008</v>
      </c>
      <c r="T510" s="219">
        <f t="shared" ref="T510:T513" si="142">J510*Z510*60*AL510</f>
        <v>93.24</v>
      </c>
      <c r="U510" s="219">
        <f t="shared" ref="U510:U513" si="143">J510*Z510*60*AT510</f>
        <v>0.24159092962656342</v>
      </c>
      <c r="V510" s="188">
        <f t="shared" ref="V510:V513" si="144">J510*Z510*60*AX510</f>
        <v>1744065281631766.5</v>
      </c>
      <c r="W510" s="323">
        <v>0.65</v>
      </c>
      <c r="X510" s="323">
        <v>0.54</v>
      </c>
      <c r="Y510" s="323">
        <v>0.2</v>
      </c>
      <c r="Z510" s="323">
        <v>7.0000000000000007E-2</v>
      </c>
      <c r="AA510" s="323">
        <v>20</v>
      </c>
      <c r="AB510" s="323">
        <v>16.7</v>
      </c>
      <c r="AC510" s="323">
        <v>9.8000000000000007</v>
      </c>
      <c r="AD510" s="323">
        <v>5.2</v>
      </c>
      <c r="AE510" s="323">
        <v>0</v>
      </c>
      <c r="AF510" s="323">
        <v>0</v>
      </c>
      <c r="AG510" s="323">
        <v>0.1</v>
      </c>
      <c r="AH510" s="323">
        <v>0.2</v>
      </c>
      <c r="AI510" s="323">
        <v>0</v>
      </c>
      <c r="AJ510" s="323">
        <v>0</v>
      </c>
      <c r="AK510" s="323">
        <v>3.3</v>
      </c>
      <c r="AL510" s="323">
        <v>22.2</v>
      </c>
      <c r="AM510" s="323">
        <v>5.8228998002365631E-3</v>
      </c>
      <c r="AN510" s="323">
        <v>4.6665076328756081E-3</v>
      </c>
      <c r="AO510" s="323">
        <v>6.4595378020801753E-3</v>
      </c>
      <c r="AP510" s="323">
        <v>7.3276499110865225E-3</v>
      </c>
      <c r="AQ510" s="323">
        <v>5.4782899800236561E-2</v>
      </c>
      <c r="AR510" s="323">
        <v>5.362650763287561E-2</v>
      </c>
      <c r="AS510" s="323">
        <v>6.1044537802080183E-2</v>
      </c>
      <c r="AT510" s="323">
        <v>5.7521649911086527E-2</v>
      </c>
      <c r="AU510" s="190">
        <v>38302442392422.906</v>
      </c>
      <c r="AV510" s="190">
        <v>38554929383254.797</v>
      </c>
      <c r="AW510" s="190">
        <v>366058232555410.5</v>
      </c>
      <c r="AX510" s="190">
        <v>415253638483753.94</v>
      </c>
      <c r="AZ510" s="239">
        <v>92.8</v>
      </c>
      <c r="BA510" s="203">
        <v>2018</v>
      </c>
      <c r="BB510" s="204">
        <v>43693</v>
      </c>
    </row>
    <row r="511" spans="1:55" x14ac:dyDescent="0.2">
      <c r="A511" s="184" t="s">
        <v>3652</v>
      </c>
      <c r="B511" s="184" t="s">
        <v>3655</v>
      </c>
      <c r="C511" s="184" t="s">
        <v>723</v>
      </c>
      <c r="D511" s="185" t="s">
        <v>1043</v>
      </c>
      <c r="E511" s="184" t="s">
        <v>3661</v>
      </c>
      <c r="F511" s="184" t="s">
        <v>3661</v>
      </c>
      <c r="G511" s="186">
        <f>IF(ALECA_Input!$F$13="ICAO (3000ft)",'Aircraft Calc'!C$211,'Aircraft Calc'!G$211)</f>
        <v>0.7</v>
      </c>
      <c r="H511" s="186">
        <f>IF(ALECA_Input!$F$13="ICAO (3000ft)",'Aircraft Calc'!D$211,'Aircraft Calc'!H$211)</f>
        <v>2.2000000000000002</v>
      </c>
      <c r="I511" s="186">
        <f>IF(ALECA_Input!$F$13="ICAO (3000ft)",'Aircraft Calc'!E$211,'Aircraft Calc'!I$211)</f>
        <v>4</v>
      </c>
      <c r="J511" s="186">
        <v>1</v>
      </c>
      <c r="K511" s="187">
        <f t="shared" si="133"/>
        <v>158.1</v>
      </c>
      <c r="L511" s="187">
        <f t="shared" si="134"/>
        <v>2.5756319999999997</v>
      </c>
      <c r="M511" s="187">
        <f t="shared" si="135"/>
        <v>5.0400000000000002E-3</v>
      </c>
      <c r="N511" s="187">
        <f t="shared" si="136"/>
        <v>0.13608000000000001</v>
      </c>
      <c r="O511" s="187">
        <f t="shared" si="137"/>
        <v>9.0379033352800953E-3</v>
      </c>
      <c r="P511" s="188">
        <f t="shared" si="138"/>
        <v>2.3712821560764352E+16</v>
      </c>
      <c r="Q511" s="187">
        <f t="shared" si="139"/>
        <v>4200</v>
      </c>
      <c r="R511" s="219">
        <f t="shared" si="140"/>
        <v>23.1</v>
      </c>
      <c r="S511" s="219">
        <f t="shared" si="141"/>
        <v>0.42000000000000004</v>
      </c>
      <c r="T511" s="219">
        <f t="shared" si="142"/>
        <v>83.160000000000011</v>
      </c>
      <c r="U511" s="219">
        <f t="shared" si="143"/>
        <v>0.2389995296265634</v>
      </c>
      <c r="V511" s="188">
        <f t="shared" si="144"/>
        <v>1744065281631766.5</v>
      </c>
      <c r="W511" s="323">
        <v>0.71</v>
      </c>
      <c r="X511" s="323">
        <v>0.59</v>
      </c>
      <c r="Y511" s="323">
        <v>0.21</v>
      </c>
      <c r="Z511" s="323">
        <v>7.0000000000000007E-2</v>
      </c>
      <c r="AA511" s="323">
        <v>22.2</v>
      </c>
      <c r="AB511" s="323">
        <v>18.100000000000001</v>
      </c>
      <c r="AC511" s="323">
        <v>10</v>
      </c>
      <c r="AD511" s="323">
        <v>5.5</v>
      </c>
      <c r="AE511" s="323">
        <v>0</v>
      </c>
      <c r="AF511" s="323">
        <v>0</v>
      </c>
      <c r="AG511" s="323">
        <v>0.1</v>
      </c>
      <c r="AH511" s="323">
        <v>0.1</v>
      </c>
      <c r="AI511" s="323">
        <v>0</v>
      </c>
      <c r="AJ511" s="323">
        <v>0</v>
      </c>
      <c r="AK511" s="323">
        <v>2.7</v>
      </c>
      <c r="AL511" s="323">
        <v>19.8</v>
      </c>
      <c r="AM511" s="323">
        <v>8.422854855257093E-3</v>
      </c>
      <c r="AN511" s="323">
        <v>5.6124434806302855E-3</v>
      </c>
      <c r="AO511" s="323">
        <v>6.4595378020801753E-3</v>
      </c>
      <c r="AP511" s="323">
        <v>7.3276499110865225E-3</v>
      </c>
      <c r="AQ511" s="323">
        <v>5.7382854855257098E-2</v>
      </c>
      <c r="AR511" s="323">
        <v>5.4572443480630284E-2</v>
      </c>
      <c r="AS511" s="323">
        <v>6.1044537802080183E-2</v>
      </c>
      <c r="AT511" s="323">
        <v>5.690464991108652E-2</v>
      </c>
      <c r="AU511" s="190">
        <v>55404682192902.867</v>
      </c>
      <c r="AV511" s="190">
        <v>46370300680268.383</v>
      </c>
      <c r="AW511" s="190">
        <v>366058232555410.5</v>
      </c>
      <c r="AX511" s="190">
        <v>415253638483753.94</v>
      </c>
      <c r="AZ511" s="239">
        <v>100.3</v>
      </c>
      <c r="BA511" s="203">
        <v>2018</v>
      </c>
      <c r="BB511" s="204">
        <v>43693</v>
      </c>
    </row>
    <row r="512" spans="1:55" x14ac:dyDescent="0.2">
      <c r="A512" s="184" t="s">
        <v>3658</v>
      </c>
      <c r="B512" s="184" t="s">
        <v>3656</v>
      </c>
      <c r="C512" s="184" t="s">
        <v>723</v>
      </c>
      <c r="D512" s="185" t="s">
        <v>1043</v>
      </c>
      <c r="E512" s="184" t="s">
        <v>3662</v>
      </c>
      <c r="F512" s="184" t="s">
        <v>3662</v>
      </c>
      <c r="G512" s="186">
        <f>IF(ALECA_Input!$F$13="ICAO (3000ft)",'Aircraft Calc'!C$211,'Aircraft Calc'!G$211)</f>
        <v>0.7</v>
      </c>
      <c r="H512" s="186">
        <f>IF(ALECA_Input!$F$13="ICAO (3000ft)",'Aircraft Calc'!D$211,'Aircraft Calc'!H$211)</f>
        <v>2.2000000000000002</v>
      </c>
      <c r="I512" s="186">
        <f>IF(ALECA_Input!$F$13="ICAO (3000ft)",'Aircraft Calc'!E$211,'Aircraft Calc'!I$211)</f>
        <v>4</v>
      </c>
      <c r="J512" s="186">
        <v>1</v>
      </c>
      <c r="K512" s="187">
        <f t="shared" si="133"/>
        <v>167.88</v>
      </c>
      <c r="L512" s="187">
        <f t="shared" si="134"/>
        <v>2.9160120000000003</v>
      </c>
      <c r="M512" s="187">
        <f t="shared" si="135"/>
        <v>5.28E-3</v>
      </c>
      <c r="N512" s="187">
        <f t="shared" si="136"/>
        <v>0.12143999999999998</v>
      </c>
      <c r="O512" s="187">
        <f t="shared" si="137"/>
        <v>9.7510111309356464E-3</v>
      </c>
      <c r="P512" s="188">
        <f t="shared" si="138"/>
        <v>2.6094480182446736E+16</v>
      </c>
      <c r="Q512" s="187">
        <f t="shared" si="139"/>
        <v>4200</v>
      </c>
      <c r="R512" s="219">
        <f t="shared" si="140"/>
        <v>23.94</v>
      </c>
      <c r="S512" s="219">
        <f t="shared" si="141"/>
        <v>0.42000000000000004</v>
      </c>
      <c r="T512" s="219">
        <f t="shared" si="142"/>
        <v>77.28</v>
      </c>
      <c r="U512" s="219">
        <f t="shared" si="143"/>
        <v>0.2389995296265634</v>
      </c>
      <c r="V512" s="188">
        <f t="shared" si="144"/>
        <v>1744065281631766.5</v>
      </c>
      <c r="W512" s="323">
        <v>0.76</v>
      </c>
      <c r="X512" s="323">
        <v>0.63</v>
      </c>
      <c r="Y512" s="323">
        <v>0.22</v>
      </c>
      <c r="Z512" s="323">
        <v>7.0000000000000007E-2</v>
      </c>
      <c r="AA512" s="323">
        <v>24.2</v>
      </c>
      <c r="AB512" s="323">
        <v>19.3</v>
      </c>
      <c r="AC512" s="323">
        <v>10.199999999999999</v>
      </c>
      <c r="AD512" s="323">
        <v>5.7</v>
      </c>
      <c r="AE512" s="323">
        <v>0</v>
      </c>
      <c r="AF512" s="323">
        <v>0</v>
      </c>
      <c r="AG512" s="323">
        <v>0.1</v>
      </c>
      <c r="AH512" s="323">
        <v>0.1</v>
      </c>
      <c r="AI512" s="323">
        <v>0</v>
      </c>
      <c r="AJ512" s="323">
        <v>0</v>
      </c>
      <c r="AK512" s="323">
        <v>2.2999999999999998</v>
      </c>
      <c r="AL512" s="323">
        <v>18.399999999999999</v>
      </c>
      <c r="AM512" s="323">
        <v>1.145669408779346E-2</v>
      </c>
      <c r="AN512" s="323">
        <v>6.347343190277137E-3</v>
      </c>
      <c r="AO512" s="323">
        <v>6.4595378020801753E-3</v>
      </c>
      <c r="AP512" s="323">
        <v>7.3276499110865225E-3</v>
      </c>
      <c r="AQ512" s="323">
        <v>6.0416694087793453E-2</v>
      </c>
      <c r="AR512" s="323">
        <v>5.5307343190277136E-2</v>
      </c>
      <c r="AS512" s="323">
        <v>6.1044537802080183E-2</v>
      </c>
      <c r="AT512" s="323">
        <v>5.690464991108652E-2</v>
      </c>
      <c r="AU512" s="190">
        <v>75360967964362.609</v>
      </c>
      <c r="AV512" s="190">
        <v>52442080400416.148</v>
      </c>
      <c r="AW512" s="190">
        <v>366058232555410.5</v>
      </c>
      <c r="AX512" s="190">
        <v>415253638483753.94</v>
      </c>
      <c r="AZ512" s="239">
        <v>105.9</v>
      </c>
      <c r="BA512" s="203">
        <v>2018</v>
      </c>
      <c r="BB512" s="204">
        <v>43693</v>
      </c>
    </row>
    <row r="513" spans="1:55" x14ac:dyDescent="0.2">
      <c r="A513" s="184" t="s">
        <v>3659</v>
      </c>
      <c r="B513" s="184" t="s">
        <v>3657</v>
      </c>
      <c r="C513" s="184" t="s">
        <v>723</v>
      </c>
      <c r="D513" s="185" t="s">
        <v>1043</v>
      </c>
      <c r="E513" s="184" t="s">
        <v>3663</v>
      </c>
      <c r="F513" s="184" t="s">
        <v>3663</v>
      </c>
      <c r="G513" s="186">
        <f>IF(ALECA_Input!$F$13="ICAO (3000ft)",'Aircraft Calc'!C$211,'Aircraft Calc'!G$211)</f>
        <v>0.7</v>
      </c>
      <c r="H513" s="186">
        <f>IF(ALECA_Input!$F$13="ICAO (3000ft)",'Aircraft Calc'!D$211,'Aircraft Calc'!H$211)</f>
        <v>2.2000000000000002</v>
      </c>
      <c r="I513" s="186">
        <f>IF(ALECA_Input!$F$13="ICAO (3000ft)",'Aircraft Calc'!E$211,'Aircraft Calc'!I$211)</f>
        <v>4</v>
      </c>
      <c r="J513" s="186">
        <v>1</v>
      </c>
      <c r="K513" s="187">
        <f t="shared" si="133"/>
        <v>167.88</v>
      </c>
      <c r="L513" s="187">
        <f t="shared" si="134"/>
        <v>2.9160120000000003</v>
      </c>
      <c r="M513" s="187">
        <f t="shared" si="135"/>
        <v>5.28E-3</v>
      </c>
      <c r="N513" s="187">
        <f t="shared" si="136"/>
        <v>0.12143999999999998</v>
      </c>
      <c r="O513" s="187">
        <f t="shared" si="137"/>
        <v>9.7510111309356464E-3</v>
      </c>
      <c r="P513" s="188">
        <f t="shared" si="138"/>
        <v>2.6094480182446736E+16</v>
      </c>
      <c r="Q513" s="187">
        <f t="shared" si="139"/>
        <v>4200</v>
      </c>
      <c r="R513" s="219">
        <f t="shared" si="140"/>
        <v>23.94</v>
      </c>
      <c r="S513" s="219">
        <f t="shared" si="141"/>
        <v>0.42000000000000004</v>
      </c>
      <c r="T513" s="219">
        <f t="shared" si="142"/>
        <v>77.28</v>
      </c>
      <c r="U513" s="219">
        <f t="shared" si="143"/>
        <v>0.2389995296265634</v>
      </c>
      <c r="V513" s="188">
        <f t="shared" si="144"/>
        <v>1744065281631766.5</v>
      </c>
      <c r="W513" s="323">
        <v>0.76</v>
      </c>
      <c r="X513" s="323">
        <v>0.63</v>
      </c>
      <c r="Y513" s="323">
        <v>0.22</v>
      </c>
      <c r="Z513" s="323">
        <v>7.0000000000000007E-2</v>
      </c>
      <c r="AA513" s="323">
        <v>24.2</v>
      </c>
      <c r="AB513" s="323">
        <v>19.3</v>
      </c>
      <c r="AC513" s="323">
        <v>10.199999999999999</v>
      </c>
      <c r="AD513" s="323">
        <v>5.7</v>
      </c>
      <c r="AE513" s="323">
        <v>0</v>
      </c>
      <c r="AF513" s="323">
        <v>0</v>
      </c>
      <c r="AG513" s="323">
        <v>0.1</v>
      </c>
      <c r="AH513" s="323">
        <v>0.1</v>
      </c>
      <c r="AI513" s="323">
        <v>0</v>
      </c>
      <c r="AJ513" s="323">
        <v>0</v>
      </c>
      <c r="AK513" s="323">
        <v>2.2999999999999998</v>
      </c>
      <c r="AL513" s="323">
        <v>18.399999999999999</v>
      </c>
      <c r="AM513" s="323">
        <v>1.145669408779346E-2</v>
      </c>
      <c r="AN513" s="323">
        <v>6.347343190277137E-3</v>
      </c>
      <c r="AO513" s="323">
        <v>6.4595378020801753E-3</v>
      </c>
      <c r="AP513" s="323">
        <v>7.3276499110865225E-3</v>
      </c>
      <c r="AQ513" s="323">
        <v>6.0416694087793453E-2</v>
      </c>
      <c r="AR513" s="323">
        <v>5.5307343190277136E-2</v>
      </c>
      <c r="AS513" s="323">
        <v>6.1044537802080183E-2</v>
      </c>
      <c r="AT513" s="323">
        <v>5.690464991108652E-2</v>
      </c>
      <c r="AU513" s="190">
        <v>75360967964362.609</v>
      </c>
      <c r="AV513" s="190">
        <v>52442080400416.148</v>
      </c>
      <c r="AW513" s="190">
        <v>366058232555410.5</v>
      </c>
      <c r="AX513" s="190">
        <v>415253638483753.94</v>
      </c>
      <c r="AZ513" s="239">
        <v>105.9</v>
      </c>
      <c r="BA513" s="203">
        <v>2018</v>
      </c>
      <c r="BB513" s="204">
        <v>43693</v>
      </c>
    </row>
    <row r="514" spans="1:55" x14ac:dyDescent="0.2">
      <c r="A514" s="184" t="s">
        <v>3137</v>
      </c>
      <c r="B514" s="184" t="s">
        <v>2081</v>
      </c>
      <c r="C514" s="184" t="s">
        <v>723</v>
      </c>
      <c r="D514" s="185" t="s">
        <v>1043</v>
      </c>
      <c r="E514" s="184" t="s">
        <v>2082</v>
      </c>
      <c r="F514" s="184" t="s">
        <v>2082</v>
      </c>
      <c r="G514" s="186">
        <f>IF(ALECA_Input!$F$13="ICAO (3000ft)",'Aircraft Calc'!C$211,'Aircraft Calc'!G$211)</f>
        <v>0.7</v>
      </c>
      <c r="H514" s="186">
        <f>IF(ALECA_Input!$F$13="ICAO (3000ft)",'Aircraft Calc'!D$211,'Aircraft Calc'!H$211)</f>
        <v>2.2000000000000002</v>
      </c>
      <c r="I514" s="186">
        <f>IF(ALECA_Input!$F$13="ICAO (3000ft)",'Aircraft Calc'!E$211,'Aircraft Calc'!I$211)</f>
        <v>4</v>
      </c>
      <c r="J514" s="186">
        <v>1</v>
      </c>
      <c r="K514" s="187">
        <f t="shared" si="121"/>
        <v>147.04200000000003</v>
      </c>
      <c r="L514" s="187">
        <f t="shared" si="122"/>
        <v>2.4852591600000005</v>
      </c>
      <c r="M514" s="187">
        <f t="shared" si="123"/>
        <v>9.3119999999999997E-4</v>
      </c>
      <c r="N514" s="187">
        <f t="shared" si="124"/>
        <v>8.1945599999999993E-2</v>
      </c>
      <c r="O514" s="187">
        <f t="shared" si="125"/>
        <v>7.6886684393565868E-3</v>
      </c>
      <c r="P514" s="188">
        <f t="shared" si="126"/>
        <v>1.3579730603791564E+16</v>
      </c>
      <c r="Q514" s="187">
        <f t="shared" si="127"/>
        <v>4200</v>
      </c>
      <c r="R514" s="219">
        <f t="shared" si="128"/>
        <v>26.25</v>
      </c>
      <c r="S514" s="219">
        <f t="shared" si="129"/>
        <v>0.21000000000000002</v>
      </c>
      <c r="T514" s="219">
        <f t="shared" si="130"/>
        <v>58.296000000000006</v>
      </c>
      <c r="U514" s="219">
        <f t="shared" si="131"/>
        <v>0.23251674055040908</v>
      </c>
      <c r="V514" s="188">
        <f t="shared" si="132"/>
        <v>1450115974807822</v>
      </c>
      <c r="W514" s="323">
        <v>0.66700000000000004</v>
      </c>
      <c r="X514" s="323">
        <v>0.54900000000000004</v>
      </c>
      <c r="Y514" s="323">
        <v>0.19400000000000001</v>
      </c>
      <c r="Z514" s="323">
        <v>7.0000000000000007E-2</v>
      </c>
      <c r="AA514" s="323">
        <v>23.26</v>
      </c>
      <c r="AB514" s="323">
        <v>17.940000000000001</v>
      </c>
      <c r="AC514" s="323">
        <v>11.46</v>
      </c>
      <c r="AD514" s="323">
        <v>6.25</v>
      </c>
      <c r="AE514" s="323">
        <v>0</v>
      </c>
      <c r="AF514" s="323">
        <v>0</v>
      </c>
      <c r="AG514" s="323">
        <v>0.02</v>
      </c>
      <c r="AH514" s="323">
        <v>0.05</v>
      </c>
      <c r="AI514" s="323">
        <v>0</v>
      </c>
      <c r="AJ514" s="323">
        <v>0</v>
      </c>
      <c r="AK514" s="323">
        <v>1.76</v>
      </c>
      <c r="AL514" s="323">
        <v>13.88</v>
      </c>
      <c r="AM514" s="323">
        <v>2.045970261507032E-3</v>
      </c>
      <c r="AN514" s="323">
        <v>2.3717667727747734E-3</v>
      </c>
      <c r="AO514" s="323">
        <v>4.4656167087904798E-3</v>
      </c>
      <c r="AP514" s="323">
        <v>6.0926287024783473E-3</v>
      </c>
      <c r="AQ514" s="323">
        <v>5.1005970261507036E-2</v>
      </c>
      <c r="AR514" s="323">
        <v>5.1331766772774776E-2</v>
      </c>
      <c r="AS514" s="323">
        <v>5.4550616708790481E-2</v>
      </c>
      <c r="AT514" s="323">
        <v>5.5361128702478349E-2</v>
      </c>
      <c r="AU514" s="190">
        <v>13458184197983.248</v>
      </c>
      <c r="AV514" s="190">
        <v>19595660745021.02</v>
      </c>
      <c r="AW514" s="190">
        <v>253063889364241.34</v>
      </c>
      <c r="AX514" s="190">
        <v>345265708287576.63</v>
      </c>
      <c r="AY514" s="203">
        <v>3.2</v>
      </c>
      <c r="AZ514" s="239">
        <v>68.599999999999994</v>
      </c>
      <c r="BA514" s="203">
        <v>2015</v>
      </c>
      <c r="BB514" s="204">
        <v>43693</v>
      </c>
      <c r="BC514" s="203" t="s">
        <v>3138</v>
      </c>
    </row>
    <row r="515" spans="1:55" x14ac:dyDescent="0.2">
      <c r="A515" s="184" t="s">
        <v>3139</v>
      </c>
      <c r="B515" s="184" t="s">
        <v>2083</v>
      </c>
      <c r="C515" s="184" t="s">
        <v>723</v>
      </c>
      <c r="D515" s="185" t="s">
        <v>1043</v>
      </c>
      <c r="E515" s="184" t="s">
        <v>2084</v>
      </c>
      <c r="F515" s="184" t="s">
        <v>2084</v>
      </c>
      <c r="G515" s="186">
        <f>IF(ALECA_Input!$F$13="ICAO (3000ft)",'Aircraft Calc'!C$211,'Aircraft Calc'!G$211)</f>
        <v>0.7</v>
      </c>
      <c r="H515" s="186">
        <f>IF(ALECA_Input!$F$13="ICAO (3000ft)",'Aircraft Calc'!D$211,'Aircraft Calc'!H$211)</f>
        <v>2.2000000000000002</v>
      </c>
      <c r="I515" s="186">
        <f>IF(ALECA_Input!$F$13="ICAO (3000ft)",'Aircraft Calc'!E$211,'Aircraft Calc'!I$211)</f>
        <v>4</v>
      </c>
      <c r="J515" s="186">
        <v>1</v>
      </c>
      <c r="K515" s="187">
        <f t="shared" si="121"/>
        <v>153.23400000000001</v>
      </c>
      <c r="L515" s="187">
        <f t="shared" si="122"/>
        <v>2.7125038800000003</v>
      </c>
      <c r="M515" s="187">
        <f t="shared" si="123"/>
        <v>9.6480000000000014E-4</v>
      </c>
      <c r="N515" s="187">
        <f t="shared" si="124"/>
        <v>7.2359999999999994E-2</v>
      </c>
      <c r="O515" s="187">
        <f t="shared" si="125"/>
        <v>8.0114845365949691E-3</v>
      </c>
      <c r="P515" s="188">
        <f t="shared" si="126"/>
        <v>1.4085044790725804E+16</v>
      </c>
      <c r="Q515" s="187">
        <f t="shared" si="127"/>
        <v>4260</v>
      </c>
      <c r="R515" s="219">
        <f t="shared" si="128"/>
        <v>27.3066</v>
      </c>
      <c r="S515" s="219">
        <f t="shared" si="129"/>
        <v>0.21299999999999999</v>
      </c>
      <c r="T515" s="219">
        <f t="shared" si="130"/>
        <v>57.083999999999996</v>
      </c>
      <c r="U515" s="219">
        <f t="shared" si="131"/>
        <v>0.23583840827255775</v>
      </c>
      <c r="V515" s="188">
        <f t="shared" si="132"/>
        <v>1470831917305076.3</v>
      </c>
      <c r="W515" s="323">
        <v>0.69899999999999995</v>
      </c>
      <c r="X515" s="323">
        <v>0.57299999999999995</v>
      </c>
      <c r="Y515" s="323">
        <v>0.20100000000000001</v>
      </c>
      <c r="Z515" s="323">
        <v>7.0999999999999994E-2</v>
      </c>
      <c r="AA515" s="323">
        <v>24.88</v>
      </c>
      <c r="AB515" s="323">
        <v>18.89</v>
      </c>
      <c r="AC515" s="323">
        <v>11.47</v>
      </c>
      <c r="AD515" s="323">
        <v>6.41</v>
      </c>
      <c r="AE515" s="323">
        <v>0</v>
      </c>
      <c r="AF515" s="323">
        <v>0</v>
      </c>
      <c r="AG515" s="323">
        <v>0.02</v>
      </c>
      <c r="AH515" s="323">
        <v>0.05</v>
      </c>
      <c r="AI515" s="323">
        <v>0</v>
      </c>
      <c r="AJ515" s="323">
        <v>0</v>
      </c>
      <c r="AK515" s="323">
        <v>1.5</v>
      </c>
      <c r="AL515" s="323">
        <v>13.4</v>
      </c>
      <c r="AM515" s="323">
        <v>2.045970261507032E-3</v>
      </c>
      <c r="AN515" s="323">
        <v>2.3717667727747734E-3</v>
      </c>
      <c r="AO515" s="323">
        <v>4.4656167087904798E-3</v>
      </c>
      <c r="AP515" s="323">
        <v>6.0926287024783473E-3</v>
      </c>
      <c r="AQ515" s="323">
        <v>5.1005970261507036E-2</v>
      </c>
      <c r="AR515" s="323">
        <v>5.1331766772774776E-2</v>
      </c>
      <c r="AS515" s="323">
        <v>5.4550616708790481E-2</v>
      </c>
      <c r="AT515" s="323">
        <v>5.5361128702478349E-2</v>
      </c>
      <c r="AU515" s="190">
        <v>13458184197983.248</v>
      </c>
      <c r="AV515" s="190">
        <v>19595660745021.02</v>
      </c>
      <c r="AW515" s="190">
        <v>253063889364241.34</v>
      </c>
      <c r="AX515" s="190">
        <v>345265708287576.63</v>
      </c>
      <c r="AY515" s="203">
        <v>3.4</v>
      </c>
      <c r="AZ515" s="239">
        <v>71.2</v>
      </c>
      <c r="BA515" s="203">
        <v>2015</v>
      </c>
      <c r="BB515" s="204">
        <v>43693</v>
      </c>
      <c r="BC515" s="203" t="s">
        <v>3138</v>
      </c>
    </row>
    <row r="516" spans="1:55" x14ac:dyDescent="0.2">
      <c r="A516" s="184" t="s">
        <v>2086</v>
      </c>
      <c r="B516" s="184" t="s">
        <v>2085</v>
      </c>
      <c r="C516" s="184" t="s">
        <v>723</v>
      </c>
      <c r="D516" s="185" t="s">
        <v>1043</v>
      </c>
      <c r="E516" s="184" t="s">
        <v>2087</v>
      </c>
      <c r="F516" s="184" t="s">
        <v>2088</v>
      </c>
      <c r="G516" s="186">
        <f>IF(ALECA_Input!$F$13="ICAO (3000ft)",'Aircraft Calc'!C$211,'Aircraft Calc'!G$211)</f>
        <v>0.7</v>
      </c>
      <c r="H516" s="186">
        <f>IF(ALECA_Input!$F$13="ICAO (3000ft)",'Aircraft Calc'!D$211,'Aircraft Calc'!H$211)</f>
        <v>2.2000000000000002</v>
      </c>
      <c r="I516" s="186">
        <f>IF(ALECA_Input!$F$13="ICAO (3000ft)",'Aircraft Calc'!E$211,'Aircraft Calc'!I$211)</f>
        <v>4</v>
      </c>
      <c r="J516" s="189">
        <v>1</v>
      </c>
      <c r="K516" s="187">
        <f t="shared" si="121"/>
        <v>159.41999999999999</v>
      </c>
      <c r="L516" s="187">
        <f t="shared" si="122"/>
        <v>2.0376233999999998</v>
      </c>
      <c r="M516" s="187">
        <f t="shared" si="123"/>
        <v>1.191E-2</v>
      </c>
      <c r="N516" s="187">
        <f t="shared" si="124"/>
        <v>0.35990519999999998</v>
      </c>
      <c r="O516" s="187">
        <f t="shared" si="125"/>
        <v>1.5582928200921638E-2</v>
      </c>
      <c r="P516" s="188">
        <f t="shared" si="126"/>
        <v>5.1332498528345952E+16</v>
      </c>
      <c r="Q516" s="187">
        <f t="shared" si="127"/>
        <v>4800</v>
      </c>
      <c r="R516" s="219">
        <f t="shared" si="128"/>
        <v>22.655999999999999</v>
      </c>
      <c r="S516" s="219">
        <f t="shared" si="129"/>
        <v>2.64</v>
      </c>
      <c r="T516" s="219">
        <f t="shared" si="130"/>
        <v>142.94399999999999</v>
      </c>
      <c r="U516" s="219">
        <f t="shared" si="131"/>
        <v>0.30236221987919226</v>
      </c>
      <c r="V516" s="188">
        <f t="shared" si="132"/>
        <v>2576632839567286</v>
      </c>
      <c r="W516" s="323">
        <v>0.71</v>
      </c>
      <c r="X516" s="323">
        <v>0.6</v>
      </c>
      <c r="Y516" s="323">
        <v>0.21</v>
      </c>
      <c r="Z516" s="323">
        <v>0.08</v>
      </c>
      <c r="AA516" s="323">
        <v>16.47</v>
      </c>
      <c r="AB516" s="323">
        <v>13.85</v>
      </c>
      <c r="AC516" s="323">
        <v>8.92</v>
      </c>
      <c r="AD516" s="323">
        <v>4.72</v>
      </c>
      <c r="AE516" s="323">
        <v>0.1</v>
      </c>
      <c r="AF516" s="323">
        <v>0.1</v>
      </c>
      <c r="AG516" s="323">
        <v>0.02</v>
      </c>
      <c r="AH516" s="323">
        <v>0.55000000000000004</v>
      </c>
      <c r="AI516" s="323">
        <v>0.26</v>
      </c>
      <c r="AJ516" s="323">
        <v>0.38</v>
      </c>
      <c r="AK516" s="323">
        <v>6.39</v>
      </c>
      <c r="AL516" s="323">
        <v>29.78</v>
      </c>
      <c r="AM516" s="323">
        <v>6.753488809740954E-2</v>
      </c>
      <c r="AN516" s="323">
        <v>5.7672141485847359E-2</v>
      </c>
      <c r="AO516" s="323">
        <v>3.8621236543209328E-3</v>
      </c>
      <c r="AP516" s="323">
        <v>1.0638629141498391E-2</v>
      </c>
      <c r="AQ516" s="323">
        <v>0.12799488809740953</v>
      </c>
      <c r="AR516" s="323">
        <v>0.11423214148584736</v>
      </c>
      <c r="AS516" s="323">
        <v>5.3947123654320937E-2</v>
      </c>
      <c r="AT516" s="323">
        <v>6.299212914149839E-2</v>
      </c>
      <c r="AU516" s="190">
        <v>425955105480275.56</v>
      </c>
      <c r="AV516" s="190">
        <v>363748927435029.94</v>
      </c>
      <c r="AW516" s="190">
        <v>194873060120431.78</v>
      </c>
      <c r="AX516" s="190">
        <v>536798508243184.63</v>
      </c>
      <c r="AY516" s="203">
        <v>2.6</v>
      </c>
      <c r="AZ516" s="239">
        <v>107.8</v>
      </c>
      <c r="BA516" s="203">
        <v>2014</v>
      </c>
      <c r="BB516" s="204">
        <v>43178</v>
      </c>
      <c r="BC516" s="203" t="s">
        <v>2089</v>
      </c>
    </row>
    <row r="517" spans="1:55" x14ac:dyDescent="0.2">
      <c r="A517" s="184" t="s">
        <v>2091</v>
      </c>
      <c r="B517" s="184" t="s">
        <v>2090</v>
      </c>
      <c r="C517" s="184" t="s">
        <v>723</v>
      </c>
      <c r="D517" s="185" t="s">
        <v>1043</v>
      </c>
      <c r="E517" s="184" t="s">
        <v>2092</v>
      </c>
      <c r="F517" s="184" t="s">
        <v>2093</v>
      </c>
      <c r="G517" s="186">
        <f>IF(ALECA_Input!$F$13="ICAO (3000ft)",'Aircraft Calc'!C$211,'Aircraft Calc'!G$211)</f>
        <v>0.7</v>
      </c>
      <c r="H517" s="186">
        <f>IF(ALECA_Input!$F$13="ICAO (3000ft)",'Aircraft Calc'!D$211,'Aircraft Calc'!H$211)</f>
        <v>2.2000000000000002</v>
      </c>
      <c r="I517" s="186">
        <f>IF(ALECA_Input!$F$13="ICAO (3000ft)",'Aircraft Calc'!E$211,'Aircraft Calc'!I$211)</f>
        <v>4</v>
      </c>
      <c r="J517" s="189">
        <v>1</v>
      </c>
      <c r="K517" s="187">
        <f t="shared" si="121"/>
        <v>159.41999999999999</v>
      </c>
      <c r="L517" s="187">
        <f t="shared" si="122"/>
        <v>2.0376233999999998</v>
      </c>
      <c r="M517" s="187">
        <f t="shared" si="123"/>
        <v>1.191E-2</v>
      </c>
      <c r="N517" s="187">
        <f t="shared" si="124"/>
        <v>0.35990519999999998</v>
      </c>
      <c r="O517" s="187">
        <f t="shared" si="125"/>
        <v>1.5582928200921638E-2</v>
      </c>
      <c r="P517" s="188">
        <f t="shared" si="126"/>
        <v>5.1332498528345952E+16</v>
      </c>
      <c r="Q517" s="187">
        <f t="shared" si="127"/>
        <v>4800</v>
      </c>
      <c r="R517" s="219">
        <f t="shared" si="128"/>
        <v>22.655999999999999</v>
      </c>
      <c r="S517" s="219">
        <f t="shared" si="129"/>
        <v>2.64</v>
      </c>
      <c r="T517" s="219">
        <f t="shared" si="130"/>
        <v>142.94399999999999</v>
      </c>
      <c r="U517" s="219">
        <f t="shared" si="131"/>
        <v>0.30236221987919226</v>
      </c>
      <c r="V517" s="188">
        <f t="shared" si="132"/>
        <v>2576632839567286</v>
      </c>
      <c r="W517" s="323">
        <v>0.71</v>
      </c>
      <c r="X517" s="323">
        <v>0.6</v>
      </c>
      <c r="Y517" s="323">
        <v>0.21</v>
      </c>
      <c r="Z517" s="323">
        <v>0.08</v>
      </c>
      <c r="AA517" s="323">
        <v>16.47</v>
      </c>
      <c r="AB517" s="323">
        <v>13.85</v>
      </c>
      <c r="AC517" s="323">
        <v>8.92</v>
      </c>
      <c r="AD517" s="323">
        <v>4.72</v>
      </c>
      <c r="AE517" s="323">
        <v>0.1</v>
      </c>
      <c r="AF517" s="323">
        <v>0.1</v>
      </c>
      <c r="AG517" s="323">
        <v>0.02</v>
      </c>
      <c r="AH517" s="323">
        <v>0.55000000000000004</v>
      </c>
      <c r="AI517" s="323">
        <v>0.26</v>
      </c>
      <c r="AJ517" s="323">
        <v>0.38</v>
      </c>
      <c r="AK517" s="323">
        <v>6.39</v>
      </c>
      <c r="AL517" s="323">
        <v>29.78</v>
      </c>
      <c r="AM517" s="323">
        <v>6.753488809740954E-2</v>
      </c>
      <c r="AN517" s="323">
        <v>5.7672141485847359E-2</v>
      </c>
      <c r="AO517" s="323">
        <v>3.8621236543209328E-3</v>
      </c>
      <c r="AP517" s="323">
        <v>1.0638629141498391E-2</v>
      </c>
      <c r="AQ517" s="323">
        <v>0.12799488809740953</v>
      </c>
      <c r="AR517" s="323">
        <v>0.11423214148584736</v>
      </c>
      <c r="AS517" s="323">
        <v>5.3947123654320937E-2</v>
      </c>
      <c r="AT517" s="323">
        <v>6.299212914149839E-2</v>
      </c>
      <c r="AU517" s="190">
        <v>425955105480275.56</v>
      </c>
      <c r="AV517" s="190">
        <v>363748927435029.94</v>
      </c>
      <c r="AW517" s="190">
        <v>194873060120431.78</v>
      </c>
      <c r="AX517" s="190">
        <v>536798508243184.63</v>
      </c>
      <c r="AY517" s="203">
        <v>2.6</v>
      </c>
      <c r="AZ517" s="239">
        <v>107.8</v>
      </c>
      <c r="BA517" s="203">
        <v>2014</v>
      </c>
      <c r="BB517" s="204">
        <v>43178</v>
      </c>
      <c r="BC517" s="203" t="s">
        <v>2089</v>
      </c>
    </row>
    <row r="518" spans="1:55" x14ac:dyDescent="0.2">
      <c r="A518" s="184" t="s">
        <v>2095</v>
      </c>
      <c r="B518" s="184" t="s">
        <v>2094</v>
      </c>
      <c r="C518" s="184" t="s">
        <v>723</v>
      </c>
      <c r="D518" s="185" t="s">
        <v>1043</v>
      </c>
      <c r="E518" s="184" t="s">
        <v>402</v>
      </c>
      <c r="F518" s="184" t="s">
        <v>2096</v>
      </c>
      <c r="G518" s="186">
        <f>IF(ALECA_Input!$F$13="ICAO (3000ft)",'Aircraft Calc'!C$211,'Aircraft Calc'!G$211)</f>
        <v>0.7</v>
      </c>
      <c r="H518" s="186">
        <f>IF(ALECA_Input!$F$13="ICAO (3000ft)",'Aircraft Calc'!D$211,'Aircraft Calc'!H$211)</f>
        <v>2.2000000000000002</v>
      </c>
      <c r="I518" s="186">
        <f>IF(ALECA_Input!$F$13="ICAO (3000ft)",'Aircraft Calc'!E$211,'Aircraft Calc'!I$211)</f>
        <v>4</v>
      </c>
      <c r="J518" s="189">
        <v>1</v>
      </c>
      <c r="K518" s="187">
        <f t="shared" si="121"/>
        <v>177.72</v>
      </c>
      <c r="L518" s="187">
        <f t="shared" si="122"/>
        <v>2.4905016</v>
      </c>
      <c r="M518" s="187">
        <f t="shared" si="123"/>
        <v>5.323200000000001E-3</v>
      </c>
      <c r="N518" s="187">
        <f t="shared" si="124"/>
        <v>0.33236880000000002</v>
      </c>
      <c r="O518" s="187">
        <f t="shared" si="125"/>
        <v>1.8179982316630462E-2</v>
      </c>
      <c r="P518" s="188">
        <f t="shared" si="126"/>
        <v>6.6987962480368448E+16</v>
      </c>
      <c r="Q518" s="187">
        <f t="shared" si="127"/>
        <v>4800</v>
      </c>
      <c r="R518" s="219">
        <f t="shared" si="128"/>
        <v>23.231999999999999</v>
      </c>
      <c r="S518" s="219">
        <f t="shared" si="129"/>
        <v>2.0640000000000001</v>
      </c>
      <c r="T518" s="219">
        <f t="shared" si="130"/>
        <v>134.06399999999999</v>
      </c>
      <c r="U518" s="219">
        <f t="shared" si="131"/>
        <v>0.29521145310525793</v>
      </c>
      <c r="V518" s="188">
        <f t="shared" si="132"/>
        <v>2395144984605241</v>
      </c>
      <c r="W518" s="323">
        <v>0.8</v>
      </c>
      <c r="X518" s="323">
        <v>0.67</v>
      </c>
      <c r="Y518" s="323">
        <v>0.23200000000000001</v>
      </c>
      <c r="Z518" s="323">
        <v>0.08</v>
      </c>
      <c r="AA518" s="323">
        <v>18.82</v>
      </c>
      <c r="AB518" s="323">
        <v>15.3</v>
      </c>
      <c r="AC518" s="323">
        <v>9.07</v>
      </c>
      <c r="AD518" s="323">
        <v>4.84</v>
      </c>
      <c r="AE518" s="323">
        <v>0.02</v>
      </c>
      <c r="AF518" s="323">
        <v>0.04</v>
      </c>
      <c r="AG518" s="323">
        <v>0.02</v>
      </c>
      <c r="AH518" s="323">
        <v>0.43</v>
      </c>
      <c r="AI518" s="323">
        <v>0.22</v>
      </c>
      <c r="AJ518" s="323">
        <v>0.3</v>
      </c>
      <c r="AK518" s="323">
        <v>5.36</v>
      </c>
      <c r="AL518" s="323">
        <v>27.93</v>
      </c>
      <c r="AM518" s="323">
        <v>7.7549308678406939E-2</v>
      </c>
      <c r="AN518" s="323">
        <v>7.0588252725330272E-2</v>
      </c>
      <c r="AO518" s="323">
        <v>3.9790171337603089E-3</v>
      </c>
      <c r="AP518" s="323">
        <v>9.8892860635954108E-3</v>
      </c>
      <c r="AQ518" s="323">
        <v>0.12880930867840695</v>
      </c>
      <c r="AR518" s="323">
        <v>0.12258825272533028</v>
      </c>
      <c r="AS518" s="323">
        <v>5.4064017133760314E-2</v>
      </c>
      <c r="AT518" s="323">
        <v>6.1502386063595406E-2</v>
      </c>
      <c r="AU518" s="190">
        <v>489117919472799.44</v>
      </c>
      <c r="AV518" s="190">
        <v>445213244329632.88</v>
      </c>
      <c r="AW518" s="190">
        <v>200771211522443.56</v>
      </c>
      <c r="AX518" s="190">
        <v>498988538459425.25</v>
      </c>
      <c r="AY518" s="203">
        <v>3.1</v>
      </c>
      <c r="AZ518" s="239">
        <v>120.4</v>
      </c>
      <c r="BA518" s="203">
        <v>2014</v>
      </c>
      <c r="BB518" s="204">
        <v>43178</v>
      </c>
      <c r="BC518" s="203" t="s">
        <v>2089</v>
      </c>
    </row>
    <row r="519" spans="1:55" x14ac:dyDescent="0.2">
      <c r="A519" s="184" t="s">
        <v>2098</v>
      </c>
      <c r="B519" s="184" t="s">
        <v>2097</v>
      </c>
      <c r="C519" s="184" t="s">
        <v>723</v>
      </c>
      <c r="D519" s="185" t="s">
        <v>1043</v>
      </c>
      <c r="E519" s="184" t="s">
        <v>2099</v>
      </c>
      <c r="F519" s="184" t="s">
        <v>716</v>
      </c>
      <c r="G519" s="186">
        <f>IF(ALECA_Input!$F$13="ICAO (3000ft)",'Aircraft Calc'!C$211,'Aircraft Calc'!G$211)</f>
        <v>0.7</v>
      </c>
      <c r="H519" s="186">
        <f>IF(ALECA_Input!$F$13="ICAO (3000ft)",'Aircraft Calc'!D$211,'Aircraft Calc'!H$211)</f>
        <v>2.2000000000000002</v>
      </c>
      <c r="I519" s="186">
        <f>IF(ALECA_Input!$F$13="ICAO (3000ft)",'Aircraft Calc'!E$211,'Aircraft Calc'!I$211)</f>
        <v>4</v>
      </c>
      <c r="J519" s="189">
        <v>1</v>
      </c>
      <c r="K519" s="187">
        <f t="shared" si="121"/>
        <v>194.51999999999998</v>
      </c>
      <c r="L519" s="187">
        <f t="shared" si="122"/>
        <v>2.9605511999999998</v>
      </c>
      <c r="M519" s="187">
        <f t="shared" si="123"/>
        <v>5.8176000000000009E-3</v>
      </c>
      <c r="N519" s="187">
        <f t="shared" si="124"/>
        <v>0.31214760000000003</v>
      </c>
      <c r="O519" s="187">
        <f t="shared" si="125"/>
        <v>2.0888586081830977E-2</v>
      </c>
      <c r="P519" s="188">
        <f t="shared" si="126"/>
        <v>7.993809059928912E+16</v>
      </c>
      <c r="Q519" s="187">
        <f t="shared" si="127"/>
        <v>4800</v>
      </c>
      <c r="R519" s="219">
        <f t="shared" si="128"/>
        <v>23.904</v>
      </c>
      <c r="S519" s="219">
        <f t="shared" si="129"/>
        <v>1.728</v>
      </c>
      <c r="T519" s="219">
        <f t="shared" si="130"/>
        <v>127.29599999999999</v>
      </c>
      <c r="U519" s="219">
        <f t="shared" si="131"/>
        <v>0.29058753846998886</v>
      </c>
      <c r="V519" s="188">
        <f t="shared" si="132"/>
        <v>2266438293467179</v>
      </c>
      <c r="W519" s="323">
        <v>0.88</v>
      </c>
      <c r="X519" s="323">
        <v>0.73</v>
      </c>
      <c r="Y519" s="323">
        <v>0.255</v>
      </c>
      <c r="Z519" s="323">
        <v>0.08</v>
      </c>
      <c r="AA519" s="323">
        <v>20.98</v>
      </c>
      <c r="AB519" s="323">
        <v>16.84</v>
      </c>
      <c r="AC519" s="323">
        <v>9.19</v>
      </c>
      <c r="AD519" s="323">
        <v>4.9800000000000004</v>
      </c>
      <c r="AE519" s="323">
        <v>0.02</v>
      </c>
      <c r="AF519" s="323">
        <v>0.04</v>
      </c>
      <c r="AG519" s="323">
        <v>0.02</v>
      </c>
      <c r="AH519" s="323">
        <v>0.36</v>
      </c>
      <c r="AI519" s="323">
        <v>0.21</v>
      </c>
      <c r="AJ519" s="323">
        <v>0.25</v>
      </c>
      <c r="AK519" s="323">
        <v>4.58</v>
      </c>
      <c r="AL519" s="323">
        <v>26.52</v>
      </c>
      <c r="AM519" s="323">
        <v>8.2459962624836486E-2</v>
      </c>
      <c r="AN519" s="323">
        <v>7.9073393244098983E-2</v>
      </c>
      <c r="AO519" s="323">
        <v>4.0990537616935156E-3</v>
      </c>
      <c r="AP519" s="323">
        <v>9.3578705145809984E-3</v>
      </c>
      <c r="AQ519" s="323">
        <v>0.13371996262483649</v>
      </c>
      <c r="AR519" s="323">
        <v>0.13107339324409897</v>
      </c>
      <c r="AS519" s="323">
        <v>5.4184053761693524E-2</v>
      </c>
      <c r="AT519" s="323">
        <v>6.053907051458101E-2</v>
      </c>
      <c r="AU519" s="190">
        <v>520090327640730.69</v>
      </c>
      <c r="AV519" s="190">
        <v>498730604415785.38</v>
      </c>
      <c r="AW519" s="190">
        <v>206827958303637.66</v>
      </c>
      <c r="AX519" s="190">
        <v>472174644472329</v>
      </c>
      <c r="AY519" s="203">
        <v>3.6</v>
      </c>
      <c r="AZ519" s="239">
        <v>130.1</v>
      </c>
      <c r="BA519" s="203">
        <v>2017</v>
      </c>
      <c r="BB519" s="204">
        <v>43178</v>
      </c>
      <c r="BC519" s="203" t="s">
        <v>2089</v>
      </c>
    </row>
    <row r="520" spans="1:55" x14ac:dyDescent="0.2">
      <c r="A520" s="184" t="s">
        <v>2101</v>
      </c>
      <c r="B520" s="184" t="s">
        <v>2100</v>
      </c>
      <c r="C520" s="184" t="s">
        <v>723</v>
      </c>
      <c r="D520" s="185" t="s">
        <v>1043</v>
      </c>
      <c r="E520" s="184" t="s">
        <v>2069</v>
      </c>
      <c r="F520" s="184" t="s">
        <v>716</v>
      </c>
      <c r="G520" s="186">
        <f>IF(ALECA_Input!$F$13="ICAO (3000ft)",'Aircraft Calc'!C$211,'Aircraft Calc'!G$211)</f>
        <v>0.7</v>
      </c>
      <c r="H520" s="186">
        <f>IF(ALECA_Input!$F$13="ICAO (3000ft)",'Aircraft Calc'!D$211,'Aircraft Calc'!H$211)</f>
        <v>2.2000000000000002</v>
      </c>
      <c r="I520" s="186">
        <f>IF(ALECA_Input!$F$13="ICAO (3000ft)",'Aircraft Calc'!E$211,'Aircraft Calc'!I$211)</f>
        <v>4</v>
      </c>
      <c r="J520" s="189">
        <v>1</v>
      </c>
      <c r="K520" s="187">
        <f t="shared" si="121"/>
        <v>220.434</v>
      </c>
      <c r="L520" s="187">
        <f t="shared" si="122"/>
        <v>3.9183226799999997</v>
      </c>
      <c r="M520" s="187">
        <f t="shared" si="123"/>
        <v>7.731120000000001E-3</v>
      </c>
      <c r="N520" s="187">
        <f t="shared" si="124"/>
        <v>0.26376353999999996</v>
      </c>
      <c r="O520" s="187">
        <f t="shared" si="125"/>
        <v>2.5544991471330214E-2</v>
      </c>
      <c r="P520" s="188">
        <f t="shared" si="126"/>
        <v>1.021064132834349E+17</v>
      </c>
      <c r="Q520" s="187">
        <f t="shared" si="127"/>
        <v>5940</v>
      </c>
      <c r="R520" s="219">
        <f t="shared" si="128"/>
        <v>31.541399999999999</v>
      </c>
      <c r="S520" s="219">
        <f t="shared" si="129"/>
        <v>1.5444000000000002</v>
      </c>
      <c r="T520" s="219">
        <f t="shared" si="130"/>
        <v>142.91640000000001</v>
      </c>
      <c r="U520" s="219">
        <f t="shared" si="131"/>
        <v>0.35148030330927832</v>
      </c>
      <c r="V520" s="188">
        <f t="shared" si="132"/>
        <v>2579838677804259.5</v>
      </c>
      <c r="W520" s="323">
        <v>1.0229999999999999</v>
      </c>
      <c r="X520" s="323">
        <v>0.83899999999999997</v>
      </c>
      <c r="Y520" s="323">
        <v>0.27800000000000002</v>
      </c>
      <c r="Z520" s="323">
        <v>9.9000000000000005E-2</v>
      </c>
      <c r="AA520" s="323">
        <v>25.46</v>
      </c>
      <c r="AB520" s="323">
        <v>19.84</v>
      </c>
      <c r="AC520" s="323">
        <v>9.4</v>
      </c>
      <c r="AD520" s="323">
        <v>5.31</v>
      </c>
      <c r="AE520" s="323">
        <v>0.02</v>
      </c>
      <c r="AF520" s="323">
        <v>0.05</v>
      </c>
      <c r="AG520" s="323">
        <v>0.02</v>
      </c>
      <c r="AH520" s="323">
        <v>0.26</v>
      </c>
      <c r="AI520" s="323">
        <v>0.23</v>
      </c>
      <c r="AJ520" s="323">
        <v>0.22</v>
      </c>
      <c r="AK520" s="323">
        <v>3.44</v>
      </c>
      <c r="AL520" s="323">
        <v>24.06</v>
      </c>
      <c r="AM520" s="323">
        <v>8.8348433083816333E-2</v>
      </c>
      <c r="AN520" s="323">
        <v>9.0942366245923251E-2</v>
      </c>
      <c r="AO520" s="323">
        <v>4.3488411038286982E-3</v>
      </c>
      <c r="AP520" s="323">
        <v>8.6075682338852422E-3</v>
      </c>
      <c r="AQ520" s="323">
        <v>0.13960843308381632</v>
      </c>
      <c r="AR520" s="323">
        <v>0.14370236624592325</v>
      </c>
      <c r="AS520" s="323">
        <v>5.4433841103828706E-2</v>
      </c>
      <c r="AT520" s="323">
        <v>5.9171768233885237E-2</v>
      </c>
      <c r="AU520" s="190">
        <v>557230006496117</v>
      </c>
      <c r="AV520" s="190">
        <v>573590425603947.38</v>
      </c>
      <c r="AW520" s="190">
        <v>219431600262841.31</v>
      </c>
      <c r="AX520" s="190">
        <v>434316275724622.75</v>
      </c>
      <c r="AY520" s="203">
        <v>4.7</v>
      </c>
      <c r="AZ520" s="239">
        <v>147.30000000000001</v>
      </c>
      <c r="BA520" s="203">
        <v>2017</v>
      </c>
      <c r="BB520" s="204">
        <v>43178</v>
      </c>
      <c r="BC520" s="203" t="s">
        <v>2102</v>
      </c>
    </row>
    <row r="521" spans="1:55" x14ac:dyDescent="0.2">
      <c r="A521" s="184" t="s">
        <v>2104</v>
      </c>
      <c r="B521" s="184" t="s">
        <v>2103</v>
      </c>
      <c r="C521" s="184" t="s">
        <v>723</v>
      </c>
      <c r="D521" s="185" t="s">
        <v>1043</v>
      </c>
      <c r="E521" s="184" t="s">
        <v>403</v>
      </c>
      <c r="F521" s="184" t="s">
        <v>2105</v>
      </c>
      <c r="G521" s="186">
        <f>IF(ALECA_Input!$F$13="ICAO (3000ft)",'Aircraft Calc'!C$211,'Aircraft Calc'!G$211)</f>
        <v>0.7</v>
      </c>
      <c r="H521" s="186">
        <f>IF(ALECA_Input!$F$13="ICAO (3000ft)",'Aircraft Calc'!D$211,'Aircraft Calc'!H$211)</f>
        <v>2.2000000000000002</v>
      </c>
      <c r="I521" s="186">
        <f>IF(ALECA_Input!$F$13="ICAO (3000ft)",'Aircraft Calc'!E$211,'Aircraft Calc'!I$211)</f>
        <v>4</v>
      </c>
      <c r="J521" s="189">
        <v>1</v>
      </c>
      <c r="K521" s="187">
        <f t="shared" si="121"/>
        <v>220.434</v>
      </c>
      <c r="L521" s="187">
        <f t="shared" si="122"/>
        <v>3.9183226799999997</v>
      </c>
      <c r="M521" s="187">
        <f t="shared" si="123"/>
        <v>7.731120000000001E-3</v>
      </c>
      <c r="N521" s="187">
        <f t="shared" si="124"/>
        <v>0.26376353999999996</v>
      </c>
      <c r="O521" s="187">
        <f t="shared" si="125"/>
        <v>2.5544991471330214E-2</v>
      </c>
      <c r="P521" s="188">
        <f t="shared" si="126"/>
        <v>1.021064132834349E+17</v>
      </c>
      <c r="Q521" s="187">
        <f t="shared" si="127"/>
        <v>5940</v>
      </c>
      <c r="R521" s="219">
        <f t="shared" si="128"/>
        <v>31.541399999999999</v>
      </c>
      <c r="S521" s="219">
        <f t="shared" si="129"/>
        <v>1.5444000000000002</v>
      </c>
      <c r="T521" s="219">
        <f t="shared" si="130"/>
        <v>142.91640000000001</v>
      </c>
      <c r="U521" s="219">
        <f t="shared" si="131"/>
        <v>0.35148030330927832</v>
      </c>
      <c r="V521" s="188">
        <f t="shared" si="132"/>
        <v>2579838677804259.5</v>
      </c>
      <c r="W521" s="323">
        <v>1.0229999999999999</v>
      </c>
      <c r="X521" s="323">
        <v>0.83899999999999997</v>
      </c>
      <c r="Y521" s="323">
        <v>0.27800000000000002</v>
      </c>
      <c r="Z521" s="323">
        <v>9.9000000000000005E-2</v>
      </c>
      <c r="AA521" s="323">
        <v>25.46</v>
      </c>
      <c r="AB521" s="323">
        <v>19.84</v>
      </c>
      <c r="AC521" s="323">
        <v>9.4</v>
      </c>
      <c r="AD521" s="323">
        <v>5.31</v>
      </c>
      <c r="AE521" s="323">
        <v>0.02</v>
      </c>
      <c r="AF521" s="323">
        <v>0.05</v>
      </c>
      <c r="AG521" s="323">
        <v>0.02</v>
      </c>
      <c r="AH521" s="323">
        <v>0.26</v>
      </c>
      <c r="AI521" s="323">
        <v>0.23</v>
      </c>
      <c r="AJ521" s="323">
        <v>0.22</v>
      </c>
      <c r="AK521" s="323">
        <v>3.44</v>
      </c>
      <c r="AL521" s="323">
        <v>24.06</v>
      </c>
      <c r="AM521" s="323">
        <v>8.8348433083816333E-2</v>
      </c>
      <c r="AN521" s="323">
        <v>9.0942366245923251E-2</v>
      </c>
      <c r="AO521" s="323">
        <v>4.3488411038286982E-3</v>
      </c>
      <c r="AP521" s="323">
        <v>8.6075682338852422E-3</v>
      </c>
      <c r="AQ521" s="323">
        <v>0.13960843308381632</v>
      </c>
      <c r="AR521" s="323">
        <v>0.14370236624592325</v>
      </c>
      <c r="AS521" s="323">
        <v>5.4433841103828706E-2</v>
      </c>
      <c r="AT521" s="323">
        <v>5.9171768233885237E-2</v>
      </c>
      <c r="AU521" s="190">
        <v>557230006496117</v>
      </c>
      <c r="AV521" s="190">
        <v>573590425603947.38</v>
      </c>
      <c r="AW521" s="190">
        <v>219431600262841.31</v>
      </c>
      <c r="AX521" s="190">
        <v>434316275724622.75</v>
      </c>
      <c r="AY521" s="203">
        <v>4.7</v>
      </c>
      <c r="AZ521" s="239">
        <v>147.30000000000001</v>
      </c>
      <c r="BA521" s="203">
        <v>2017</v>
      </c>
      <c r="BB521" s="204">
        <v>43178</v>
      </c>
      <c r="BC521" s="203" t="s">
        <v>2106</v>
      </c>
    </row>
    <row r="522" spans="1:55" x14ac:dyDescent="0.2">
      <c r="A522" s="184" t="s">
        <v>2107</v>
      </c>
      <c r="B522" s="184" t="s">
        <v>2110</v>
      </c>
      <c r="C522" s="184" t="s">
        <v>934</v>
      </c>
      <c r="D522" s="185" t="s">
        <v>1043</v>
      </c>
      <c r="E522" s="184" t="s">
        <v>2108</v>
      </c>
      <c r="F522" s="184" t="s">
        <v>2109</v>
      </c>
      <c r="G522" s="186">
        <f>IF(ALECA_Input!$F$13="ICAO (3000ft)",'Aircraft Calc'!C$211,'Aircraft Calc'!G$211)</f>
        <v>0.7</v>
      </c>
      <c r="H522" s="186">
        <f>IF(ALECA_Input!$F$13="ICAO (3000ft)",'Aircraft Calc'!D$211,'Aircraft Calc'!H$211)</f>
        <v>2.2000000000000002</v>
      </c>
      <c r="I522" s="186">
        <f>IF(ALECA_Input!$F$13="ICAO (3000ft)",'Aircraft Calc'!E$211,'Aircraft Calc'!I$211)</f>
        <v>4</v>
      </c>
      <c r="J522" s="189">
        <v>1</v>
      </c>
      <c r="K522" s="187">
        <f t="shared" si="121"/>
        <v>414.63599999999997</v>
      </c>
      <c r="L522" s="187">
        <f t="shared" si="122"/>
        <v>8.9749557600000003</v>
      </c>
      <c r="M522" s="187">
        <f t="shared" si="123"/>
        <v>1.1335216800000001</v>
      </c>
      <c r="N522" s="187">
        <f t="shared" si="124"/>
        <v>4.5381883199999997</v>
      </c>
      <c r="O522" s="187">
        <f t="shared" si="125"/>
        <v>0.12361456837369462</v>
      </c>
      <c r="P522" s="188">
        <f t="shared" si="126"/>
        <v>7.8071097734194522E+17</v>
      </c>
      <c r="Q522" s="187">
        <f t="shared" si="127"/>
        <v>13620.000000000002</v>
      </c>
      <c r="R522" s="219">
        <f t="shared" si="128"/>
        <v>36.774000000000008</v>
      </c>
      <c r="S522" s="219">
        <f t="shared" si="129"/>
        <v>890.33940000000018</v>
      </c>
      <c r="T522" s="219">
        <f t="shared" si="130"/>
        <v>1268.9754</v>
      </c>
      <c r="U522" s="219">
        <f t="shared" si="131"/>
        <v>6.7672768466857169</v>
      </c>
      <c r="V522" s="188">
        <f t="shared" si="132"/>
        <v>3.06300947455791E+16</v>
      </c>
      <c r="W522" s="323">
        <v>1.8660000000000001</v>
      </c>
      <c r="X522" s="323">
        <v>1.542</v>
      </c>
      <c r="Y522" s="323">
        <v>0.55300000000000005</v>
      </c>
      <c r="Z522" s="323">
        <v>0.22700000000000001</v>
      </c>
      <c r="AA522" s="323">
        <v>34.32</v>
      </c>
      <c r="AB522" s="323">
        <v>25.63</v>
      </c>
      <c r="AC522" s="323">
        <v>8.0500000000000007</v>
      </c>
      <c r="AD522" s="323">
        <v>2.7</v>
      </c>
      <c r="AE522" s="323">
        <v>0.36</v>
      </c>
      <c r="AF522" s="323">
        <v>0.39</v>
      </c>
      <c r="AG522" s="323">
        <v>7.73</v>
      </c>
      <c r="AH522" s="323">
        <v>65.37</v>
      </c>
      <c r="AI522" s="323">
        <v>2.48</v>
      </c>
      <c r="AJ522" s="323">
        <v>4.1399999999999997</v>
      </c>
      <c r="AK522" s="323">
        <v>26.38</v>
      </c>
      <c r="AL522" s="323">
        <v>93.17</v>
      </c>
      <c r="AM522" s="323">
        <v>8.5288468282576482E-2</v>
      </c>
      <c r="AN522" s="323">
        <v>8.4259392949253678E-2</v>
      </c>
      <c r="AO522" s="323">
        <v>9.4132822023731438E-2</v>
      </c>
      <c r="AP522" s="323">
        <v>4.4570304602475505E-2</v>
      </c>
      <c r="AQ522" s="323">
        <v>0.17564846828257646</v>
      </c>
      <c r="AR522" s="323">
        <v>0.1628593929492537</v>
      </c>
      <c r="AS522" s="323">
        <v>0.57790532202373146</v>
      </c>
      <c r="AT522" s="323">
        <v>0.49686320460247552</v>
      </c>
      <c r="AU522" s="190">
        <v>537930239125538.63</v>
      </c>
      <c r="AV522" s="190">
        <v>531439669517717.25</v>
      </c>
      <c r="AW522" s="190">
        <v>4749705790754101</v>
      </c>
      <c r="AX522" s="190">
        <v>2248905634770858.8</v>
      </c>
      <c r="AY522" s="203">
        <v>39.700000000000003</v>
      </c>
      <c r="AZ522" s="239">
        <v>182.5</v>
      </c>
      <c r="BA522" s="203">
        <v>1979</v>
      </c>
      <c r="BB522" s="204">
        <v>39296</v>
      </c>
      <c r="BC522" s="203" t="s">
        <v>2111</v>
      </c>
    </row>
    <row r="523" spans="1:55" x14ac:dyDescent="0.2">
      <c r="A523" s="184" t="s">
        <v>2115</v>
      </c>
      <c r="B523" s="184" t="s">
        <v>2114</v>
      </c>
      <c r="C523" s="184" t="s">
        <v>934</v>
      </c>
      <c r="D523" s="185" t="s">
        <v>1043</v>
      </c>
      <c r="E523" s="184" t="s">
        <v>2116</v>
      </c>
      <c r="F523" s="184" t="s">
        <v>2116</v>
      </c>
      <c r="G523" s="186">
        <f>IF(ALECA_Input!$F$13="ICAO (3000ft)",'Aircraft Calc'!C$211,'Aircraft Calc'!G$211)</f>
        <v>0.7</v>
      </c>
      <c r="H523" s="186">
        <f>IF(ALECA_Input!$F$13="ICAO (3000ft)",'Aircraft Calc'!D$211,'Aircraft Calc'!H$211)</f>
        <v>2.2000000000000002</v>
      </c>
      <c r="I523" s="186">
        <f>IF(ALECA_Input!$F$13="ICAO (3000ft)",'Aircraft Calc'!E$211,'Aircraft Calc'!I$211)</f>
        <v>4</v>
      </c>
      <c r="J523" s="189">
        <v>1</v>
      </c>
      <c r="K523" s="187">
        <f t="shared" si="121"/>
        <v>506.40000000000009</v>
      </c>
      <c r="L523" s="187">
        <f t="shared" si="122"/>
        <v>18.334879200000003</v>
      </c>
      <c r="M523" s="187">
        <f t="shared" si="123"/>
        <v>0.23273640000000004</v>
      </c>
      <c r="N523" s="187">
        <f t="shared" si="124"/>
        <v>0.45094800000000002</v>
      </c>
      <c r="O523" s="187">
        <f t="shared" si="125"/>
        <v>7.5416384260536234E-2</v>
      </c>
      <c r="P523" s="188">
        <f t="shared" si="126"/>
        <v>5.2923862550740262E+17</v>
      </c>
      <c r="Q523" s="187">
        <f t="shared" si="127"/>
        <v>15600.000000000002</v>
      </c>
      <c r="R523" s="219">
        <f t="shared" si="128"/>
        <v>68.796000000000006</v>
      </c>
      <c r="S523" s="219">
        <f t="shared" si="129"/>
        <v>21.996000000000002</v>
      </c>
      <c r="T523" s="219">
        <f t="shared" si="130"/>
        <v>145.08000000000001</v>
      </c>
      <c r="U523" s="219">
        <f t="shared" si="131"/>
        <v>1.8290371527698563</v>
      </c>
      <c r="V523" s="188">
        <f t="shared" si="132"/>
        <v>4.69025482266458E+16</v>
      </c>
      <c r="W523" s="323">
        <v>2.34</v>
      </c>
      <c r="X523" s="323">
        <v>1.9100000000000001</v>
      </c>
      <c r="Y523" s="323">
        <v>0.65</v>
      </c>
      <c r="Z523" s="323">
        <v>0.26</v>
      </c>
      <c r="AA523" s="323">
        <v>59.35</v>
      </c>
      <c r="AB523" s="323">
        <v>43.01</v>
      </c>
      <c r="AC523" s="323">
        <v>10.63</v>
      </c>
      <c r="AD523" s="323">
        <v>4.41</v>
      </c>
      <c r="AE523" s="323">
        <v>0.59</v>
      </c>
      <c r="AF523" s="323">
        <v>0.26</v>
      </c>
      <c r="AG523" s="323">
        <v>0.70000000000000007</v>
      </c>
      <c r="AH523" s="323">
        <v>1.41</v>
      </c>
      <c r="AI523" s="323">
        <v>1.24</v>
      </c>
      <c r="AJ523" s="323">
        <v>0.34</v>
      </c>
      <c r="AK523" s="323">
        <v>1.56</v>
      </c>
      <c r="AL523" s="323">
        <v>9.3000000000000007</v>
      </c>
      <c r="AM523" s="323">
        <v>7.126616845623604E-2</v>
      </c>
      <c r="AN523" s="323">
        <v>7.3493413733350929E-2</v>
      </c>
      <c r="AO523" s="323">
        <v>4.6776618937210919E-2</v>
      </c>
      <c r="AP523" s="323">
        <v>5.9586271331401042E-2</v>
      </c>
      <c r="AQ523" s="323">
        <v>0.18807616845623604</v>
      </c>
      <c r="AR523" s="323">
        <v>0.14221341373335092</v>
      </c>
      <c r="AS523" s="323">
        <v>0.13511161893721094</v>
      </c>
      <c r="AT523" s="323">
        <v>0.11724597133140104</v>
      </c>
      <c r="AU523" s="190">
        <v>449488984984569.69</v>
      </c>
      <c r="AV523" s="190">
        <v>463536635371959.69</v>
      </c>
      <c r="AW523" s="190">
        <v>2360230715084234.5</v>
      </c>
      <c r="AX523" s="190">
        <v>3006573604272166.5</v>
      </c>
      <c r="AY523" s="203">
        <v>20.100000000000001</v>
      </c>
      <c r="AZ523" s="239">
        <v>231.3</v>
      </c>
      <c r="BA523" s="203">
        <v>1986</v>
      </c>
      <c r="BB523" s="204">
        <v>37448</v>
      </c>
      <c r="BC523" s="203" t="s">
        <v>3140</v>
      </c>
    </row>
    <row r="524" spans="1:55" x14ac:dyDescent="0.2">
      <c r="A524" s="184" t="s">
        <v>2119</v>
      </c>
      <c r="B524" s="184" t="s">
        <v>2118</v>
      </c>
      <c r="C524" s="184" t="s">
        <v>934</v>
      </c>
      <c r="D524" s="185" t="s">
        <v>1043</v>
      </c>
      <c r="E524" s="184" t="s">
        <v>2120</v>
      </c>
      <c r="F524" s="184" t="s">
        <v>2120</v>
      </c>
      <c r="G524" s="186">
        <f>IF(ALECA_Input!$F$13="ICAO (3000ft)",'Aircraft Calc'!C$211,'Aircraft Calc'!G$211)</f>
        <v>0.7</v>
      </c>
      <c r="H524" s="186">
        <f>IF(ALECA_Input!$F$13="ICAO (3000ft)",'Aircraft Calc'!D$211,'Aircraft Calc'!H$211)</f>
        <v>2.2000000000000002</v>
      </c>
      <c r="I524" s="186">
        <f>IF(ALECA_Input!$F$13="ICAO (3000ft)",'Aircraft Calc'!E$211,'Aircraft Calc'!I$211)</f>
        <v>4</v>
      </c>
      <c r="J524" s="189">
        <v>1</v>
      </c>
      <c r="K524" s="187">
        <f t="shared" si="121"/>
        <v>564.84</v>
      </c>
      <c r="L524" s="187">
        <f t="shared" si="122"/>
        <v>10.890565200000001</v>
      </c>
      <c r="M524" s="187">
        <f t="shared" si="123"/>
        <v>8.3160000000000005E-3</v>
      </c>
      <c r="N524" s="187">
        <f t="shared" si="124"/>
        <v>0.26420639999999995</v>
      </c>
      <c r="O524" s="187">
        <f t="shared" si="125"/>
        <v>0.11879150119331928</v>
      </c>
      <c r="P524" s="188">
        <f t="shared" si="126"/>
        <v>1.0396727633579853E+18</v>
      </c>
      <c r="Q524" s="187">
        <f t="shared" si="127"/>
        <v>15600.000000000002</v>
      </c>
      <c r="R524" s="219">
        <f t="shared" si="128"/>
        <v>62.400000000000006</v>
      </c>
      <c r="S524" s="219">
        <f t="shared" si="129"/>
        <v>61.620000000000012</v>
      </c>
      <c r="T524" s="219">
        <f t="shared" si="130"/>
        <v>449.59200000000004</v>
      </c>
      <c r="U524" s="219">
        <f t="shared" si="131"/>
        <v>2.3346330448608135</v>
      </c>
      <c r="V524" s="188">
        <f t="shared" si="132"/>
        <v>6.0077796329089896E+16</v>
      </c>
      <c r="W524" s="323">
        <v>2.62</v>
      </c>
      <c r="X524" s="323">
        <v>2.1</v>
      </c>
      <c r="Y524" s="323">
        <v>0.74</v>
      </c>
      <c r="Z524" s="323">
        <v>0.26</v>
      </c>
      <c r="AA524" s="323">
        <v>28.43</v>
      </c>
      <c r="AB524" s="323">
        <v>21.8</v>
      </c>
      <c r="AC524" s="323">
        <v>9.68</v>
      </c>
      <c r="AD524" s="323">
        <v>4</v>
      </c>
      <c r="AE524" s="323">
        <v>0</v>
      </c>
      <c r="AF524" s="323">
        <v>0.03</v>
      </c>
      <c r="AG524" s="323">
        <v>0</v>
      </c>
      <c r="AH524" s="323">
        <v>3.95</v>
      </c>
      <c r="AI524" s="323">
        <v>0.16</v>
      </c>
      <c r="AJ524" s="323">
        <v>0.14000000000000001</v>
      </c>
      <c r="AK524" s="323">
        <v>1.17</v>
      </c>
      <c r="AL524" s="323">
        <v>28.82</v>
      </c>
      <c r="AM524" s="323">
        <v>0.20218136182284394</v>
      </c>
      <c r="AN524" s="323">
        <v>0.2079281032910954</v>
      </c>
      <c r="AO524" s="323">
        <v>5.9792857579064683E-2</v>
      </c>
      <c r="AP524" s="323">
        <v>7.6324464414154677E-2</v>
      </c>
      <c r="AQ524" s="323">
        <v>0.25114136182284397</v>
      </c>
      <c r="AR524" s="323">
        <v>0.25916810329109541</v>
      </c>
      <c r="AS524" s="323">
        <v>0.10875285757906469</v>
      </c>
      <c r="AT524" s="323">
        <v>0.14965596441415469</v>
      </c>
      <c r="AU524" s="190">
        <v>1275195469002318.5</v>
      </c>
      <c r="AV524" s="190">
        <v>1311441236741598</v>
      </c>
      <c r="AW524" s="190">
        <v>3016997427501122</v>
      </c>
      <c r="AX524" s="190">
        <v>3851140790326275</v>
      </c>
      <c r="AY524" s="203">
        <v>12.5</v>
      </c>
      <c r="AZ524" s="239">
        <v>253</v>
      </c>
      <c r="BA524" s="203">
        <v>1994</v>
      </c>
      <c r="BB524" s="204">
        <v>37448</v>
      </c>
      <c r="BC524" s="203" t="s">
        <v>1109</v>
      </c>
    </row>
    <row r="525" spans="1:55" x14ac:dyDescent="0.2">
      <c r="A525" s="184" t="s">
        <v>2122</v>
      </c>
      <c r="B525" s="184" t="s">
        <v>2121</v>
      </c>
      <c r="C525" s="184" t="s">
        <v>934</v>
      </c>
      <c r="D525" s="185" t="s">
        <v>1043</v>
      </c>
      <c r="E525" s="184" t="s">
        <v>2123</v>
      </c>
      <c r="F525" s="184" t="s">
        <v>2123</v>
      </c>
      <c r="G525" s="186">
        <f>IF(ALECA_Input!$F$13="ICAO (3000ft)",'Aircraft Calc'!C$211,'Aircraft Calc'!G$211)</f>
        <v>0.7</v>
      </c>
      <c r="H525" s="186">
        <f>IF(ALECA_Input!$F$13="ICAO (3000ft)",'Aircraft Calc'!D$211,'Aircraft Calc'!H$211)</f>
        <v>2.2000000000000002</v>
      </c>
      <c r="I525" s="186">
        <f>IF(ALECA_Input!$F$13="ICAO (3000ft)",'Aircraft Calc'!E$211,'Aircraft Calc'!I$211)</f>
        <v>4</v>
      </c>
      <c r="J525" s="189">
        <v>1</v>
      </c>
      <c r="K525" s="187">
        <f t="shared" si="121"/>
        <v>595.86000000000013</v>
      </c>
      <c r="L525" s="187">
        <f t="shared" si="122"/>
        <v>12.308009400000003</v>
      </c>
      <c r="M525" s="187">
        <f t="shared" si="123"/>
        <v>5.8608000000000019E-3</v>
      </c>
      <c r="N525" s="187">
        <f t="shared" si="124"/>
        <v>0.25630920000000001</v>
      </c>
      <c r="O525" s="187">
        <f t="shared" si="125"/>
        <v>0.12455167653360799</v>
      </c>
      <c r="P525" s="188">
        <f t="shared" si="126"/>
        <v>1.0819726036692731E+18</v>
      </c>
      <c r="Q525" s="187">
        <f t="shared" si="127"/>
        <v>15600.000000000002</v>
      </c>
      <c r="R525" s="219">
        <f t="shared" si="128"/>
        <v>64.896000000000015</v>
      </c>
      <c r="S525" s="219">
        <f t="shared" si="129"/>
        <v>51.636000000000003</v>
      </c>
      <c r="T525" s="219">
        <f t="shared" si="130"/>
        <v>408.25200000000007</v>
      </c>
      <c r="U525" s="219">
        <f t="shared" si="131"/>
        <v>2.2617122348142273</v>
      </c>
      <c r="V525" s="188">
        <f t="shared" si="132"/>
        <v>5.9506641271215088E+16</v>
      </c>
      <c r="W525" s="323">
        <v>2.81</v>
      </c>
      <c r="X525" s="323">
        <v>2.2200000000000002</v>
      </c>
      <c r="Y525" s="323">
        <v>0.77</v>
      </c>
      <c r="Z525" s="323">
        <v>0.26</v>
      </c>
      <c r="AA525" s="323">
        <v>31.19</v>
      </c>
      <c r="AB525" s="323">
        <v>23.19</v>
      </c>
      <c r="AC525" s="323">
        <v>9.91</v>
      </c>
      <c r="AD525" s="323">
        <v>4.16</v>
      </c>
      <c r="AE525" s="323">
        <v>0</v>
      </c>
      <c r="AF525" s="323">
        <v>0.02</v>
      </c>
      <c r="AG525" s="323">
        <v>0</v>
      </c>
      <c r="AH525" s="323">
        <v>3.31</v>
      </c>
      <c r="AI525" s="323">
        <v>0.18</v>
      </c>
      <c r="AJ525" s="323">
        <v>0.14000000000000001</v>
      </c>
      <c r="AK525" s="323">
        <v>1.05</v>
      </c>
      <c r="AL525" s="323">
        <v>26.17</v>
      </c>
      <c r="AM525" s="323">
        <v>0.20026384737262104</v>
      </c>
      <c r="AN525" s="323">
        <v>0.20595511893409885</v>
      </c>
      <c r="AO525" s="323">
        <v>5.9224690553262418E-2</v>
      </c>
      <c r="AP525" s="323">
        <v>7.5598853513732509E-2</v>
      </c>
      <c r="AQ525" s="323">
        <v>0.24922384737262104</v>
      </c>
      <c r="AR525" s="323">
        <v>0.25643511893409887</v>
      </c>
      <c r="AS525" s="323">
        <v>0.10818469055326241</v>
      </c>
      <c r="AT525" s="323">
        <v>0.14498155351373251</v>
      </c>
      <c r="AU525" s="190">
        <v>1263101348571903.8</v>
      </c>
      <c r="AV525" s="190">
        <v>1298997257287848.5</v>
      </c>
      <c r="AW525" s="190">
        <v>2988329146294295</v>
      </c>
      <c r="AX525" s="190">
        <v>3814528286616351.5</v>
      </c>
      <c r="AY525" s="203">
        <v>14</v>
      </c>
      <c r="AZ525" s="239">
        <v>264</v>
      </c>
      <c r="BA525" s="203">
        <v>1994</v>
      </c>
      <c r="BB525" s="204">
        <v>37448</v>
      </c>
      <c r="BC525" s="203" t="s">
        <v>1109</v>
      </c>
    </row>
    <row r="526" spans="1:55" x14ac:dyDescent="0.2">
      <c r="A526" s="184" t="s">
        <v>2125</v>
      </c>
      <c r="B526" s="184" t="s">
        <v>2124</v>
      </c>
      <c r="C526" s="184" t="s">
        <v>934</v>
      </c>
      <c r="D526" s="185" t="s">
        <v>1043</v>
      </c>
      <c r="E526" s="184" t="s">
        <v>369</v>
      </c>
      <c r="F526" s="184" t="s">
        <v>369</v>
      </c>
      <c r="G526" s="186">
        <f>IF(ALECA_Input!$F$13="ICAO (3000ft)",'Aircraft Calc'!C$211,'Aircraft Calc'!G$211)</f>
        <v>0.7</v>
      </c>
      <c r="H526" s="186">
        <f>IF(ALECA_Input!$F$13="ICAO (3000ft)",'Aircraft Calc'!D$211,'Aircraft Calc'!H$211)</f>
        <v>2.2000000000000002</v>
      </c>
      <c r="I526" s="186">
        <f>IF(ALECA_Input!$F$13="ICAO (3000ft)",'Aircraft Calc'!E$211,'Aircraft Calc'!I$211)</f>
        <v>4</v>
      </c>
      <c r="J526" s="189">
        <v>1</v>
      </c>
      <c r="K526" s="187">
        <f t="shared" si="121"/>
        <v>414.24000000000007</v>
      </c>
      <c r="L526" s="187">
        <f t="shared" si="122"/>
        <v>12.358308000000001</v>
      </c>
      <c r="M526" s="187">
        <f t="shared" si="123"/>
        <v>0.42320760000000007</v>
      </c>
      <c r="N526" s="187">
        <f t="shared" si="124"/>
        <v>0.55799280000000007</v>
      </c>
      <c r="O526" s="187">
        <f t="shared" si="125"/>
        <v>6.7045013845008272E-2</v>
      </c>
      <c r="P526" s="188">
        <f t="shared" si="126"/>
        <v>3.000871417359136E+17</v>
      </c>
      <c r="Q526" s="187">
        <f t="shared" si="127"/>
        <v>11400</v>
      </c>
      <c r="R526" s="219">
        <f t="shared" si="128"/>
        <v>49.019999999999996</v>
      </c>
      <c r="S526" s="219">
        <f t="shared" si="129"/>
        <v>32.49</v>
      </c>
      <c r="T526" s="219">
        <f t="shared" si="130"/>
        <v>176.01599999999999</v>
      </c>
      <c r="U526" s="219">
        <f t="shared" si="131"/>
        <v>1.0659482580700486</v>
      </c>
      <c r="V526" s="188">
        <f t="shared" si="132"/>
        <v>1.5507652877050718E+16</v>
      </c>
      <c r="W526" s="323">
        <v>1.86</v>
      </c>
      <c r="X526" s="323">
        <v>1.51</v>
      </c>
      <c r="Y526" s="323">
        <v>0.57000000000000006</v>
      </c>
      <c r="Z526" s="323">
        <v>0.19</v>
      </c>
      <c r="AA526" s="323">
        <v>52.7</v>
      </c>
      <c r="AB526" s="323">
        <v>36.200000000000003</v>
      </c>
      <c r="AC526" s="323">
        <v>7.5</v>
      </c>
      <c r="AD526" s="323">
        <v>4.3</v>
      </c>
      <c r="AE526" s="323">
        <v>0.69000000000000006</v>
      </c>
      <c r="AF526" s="323">
        <v>0.94000000000000006</v>
      </c>
      <c r="AG526" s="323">
        <v>1.33</v>
      </c>
      <c r="AH526" s="323">
        <v>2.85</v>
      </c>
      <c r="AI526" s="323">
        <v>1.01</v>
      </c>
      <c r="AJ526" s="323">
        <v>1.23</v>
      </c>
      <c r="AK526" s="323">
        <v>1.71</v>
      </c>
      <c r="AL526" s="323">
        <v>15.44</v>
      </c>
      <c r="AM526" s="323">
        <v>3.55836991973634E-2</v>
      </c>
      <c r="AN526" s="323">
        <v>4.4216511715516903E-2</v>
      </c>
      <c r="AO526" s="323">
        <v>3.2881556641618438E-2</v>
      </c>
      <c r="AP526" s="323">
        <v>2.6959733164039334E-2</v>
      </c>
      <c r="AQ526" s="323">
        <v>0.16389369919736341</v>
      </c>
      <c r="AR526" s="323">
        <v>0.16461651171551692</v>
      </c>
      <c r="AS526" s="323">
        <v>0.15665405664161847</v>
      </c>
      <c r="AT526" s="323">
        <v>9.3504233164039344E-2</v>
      </c>
      <c r="AU526" s="190">
        <v>224433011914218.44</v>
      </c>
      <c r="AV526" s="190">
        <v>278881766777892.59</v>
      </c>
      <c r="AW526" s="190">
        <v>1659120768209103</v>
      </c>
      <c r="AX526" s="190">
        <v>1360320427811466.5</v>
      </c>
      <c r="AY526" s="203">
        <v>13.6</v>
      </c>
      <c r="AZ526" s="239">
        <v>176.1</v>
      </c>
      <c r="BA526" s="203">
        <v>1984</v>
      </c>
      <c r="BB526" s="204">
        <v>37448</v>
      </c>
      <c r="BC526" s="203" t="s">
        <v>3141</v>
      </c>
    </row>
    <row r="527" spans="1:55" x14ac:dyDescent="0.2">
      <c r="A527" s="184" t="s">
        <v>691</v>
      </c>
      <c r="B527" s="184" t="s">
        <v>2126</v>
      </c>
      <c r="C527" s="184" t="s">
        <v>934</v>
      </c>
      <c r="D527" s="185" t="s">
        <v>1043</v>
      </c>
      <c r="E527" s="184" t="s">
        <v>369</v>
      </c>
      <c r="F527" s="184" t="s">
        <v>369</v>
      </c>
      <c r="G527" s="186">
        <f>IF(ALECA_Input!$F$13="ICAO (3000ft)",'Aircraft Calc'!C$211,'Aircraft Calc'!G$211)</f>
        <v>0.7</v>
      </c>
      <c r="H527" s="186">
        <f>IF(ALECA_Input!$F$13="ICAO (3000ft)",'Aircraft Calc'!D$211,'Aircraft Calc'!H$211)</f>
        <v>2.2000000000000002</v>
      </c>
      <c r="I527" s="186">
        <f>IF(ALECA_Input!$F$13="ICAO (3000ft)",'Aircraft Calc'!E$211,'Aircraft Calc'!I$211)</f>
        <v>4</v>
      </c>
      <c r="J527" s="189">
        <v>1</v>
      </c>
      <c r="K527" s="187">
        <f t="shared" si="121"/>
        <v>402.24000000000007</v>
      </c>
      <c r="L527" s="187">
        <f t="shared" si="122"/>
        <v>10.742368800000001</v>
      </c>
      <c r="M527" s="187">
        <f t="shared" si="123"/>
        <v>6.9852000000000004E-3</v>
      </c>
      <c r="N527" s="187">
        <f t="shared" si="124"/>
        <v>0.30208440000000009</v>
      </c>
      <c r="O527" s="187">
        <f t="shared" si="125"/>
        <v>3.3128767630646982E-2</v>
      </c>
      <c r="P527" s="188">
        <f t="shared" si="126"/>
        <v>2.0306084889321718E+17</v>
      </c>
      <c r="Q527" s="187">
        <f t="shared" si="127"/>
        <v>10799.999999999998</v>
      </c>
      <c r="R527" s="219">
        <f t="shared" si="128"/>
        <v>37.367999999999995</v>
      </c>
      <c r="S527" s="219">
        <f t="shared" si="129"/>
        <v>3.9959999999999996</v>
      </c>
      <c r="T527" s="219">
        <f t="shared" si="130"/>
        <v>143.74799999999999</v>
      </c>
      <c r="U527" s="219">
        <f t="shared" si="131"/>
        <v>0.85628709572817685</v>
      </c>
      <c r="V527" s="188">
        <f t="shared" si="132"/>
        <v>1.5281745500237052E+16</v>
      </c>
      <c r="W527" s="323">
        <v>1.86</v>
      </c>
      <c r="X527" s="323">
        <v>1.51</v>
      </c>
      <c r="Y527" s="323">
        <v>0.52</v>
      </c>
      <c r="Z527" s="323">
        <v>0.18</v>
      </c>
      <c r="AA527" s="323">
        <v>44.88</v>
      </c>
      <c r="AB527" s="323">
        <v>32.06</v>
      </c>
      <c r="AC527" s="323">
        <v>6.78</v>
      </c>
      <c r="AD527" s="323">
        <v>3.46</v>
      </c>
      <c r="AE527" s="323">
        <v>0</v>
      </c>
      <c r="AF527" s="323">
        <v>0.01</v>
      </c>
      <c r="AG527" s="323">
        <v>0.04</v>
      </c>
      <c r="AH527" s="323">
        <v>0.37</v>
      </c>
      <c r="AI527" s="323">
        <v>0.77</v>
      </c>
      <c r="AJ527" s="323">
        <v>0.5</v>
      </c>
      <c r="AK527" s="323">
        <v>1.1400000000000001</v>
      </c>
      <c r="AL527" s="323">
        <v>13.31</v>
      </c>
      <c r="AM527" s="323">
        <v>3.7749787931049855E-2</v>
      </c>
      <c r="AN527" s="323">
        <v>3.668491493751385E-2</v>
      </c>
      <c r="AO527" s="323">
        <v>2.1969257629231614E-2</v>
      </c>
      <c r="AP527" s="323">
        <v>2.804294219705342E-2</v>
      </c>
      <c r="AQ527" s="323">
        <v>8.6709787931049859E-2</v>
      </c>
      <c r="AR527" s="323">
        <v>8.6404914937513844E-2</v>
      </c>
      <c r="AS527" s="323">
        <v>7.3179257629231623E-2</v>
      </c>
      <c r="AT527" s="323">
        <v>7.9285842197053424E-2</v>
      </c>
      <c r="AU527" s="190">
        <v>238094936602777.16</v>
      </c>
      <c r="AV527" s="190">
        <v>231378584491102.84</v>
      </c>
      <c r="AW527" s="190">
        <v>1108513565585269.1</v>
      </c>
      <c r="AX527" s="190">
        <v>1414976435207134.5</v>
      </c>
      <c r="AY527" s="203">
        <v>11.7</v>
      </c>
      <c r="AZ527" s="239">
        <v>178.4</v>
      </c>
      <c r="BA527" s="203">
        <v>1991</v>
      </c>
      <c r="BB527" s="204">
        <v>37448</v>
      </c>
      <c r="BC527" s="203" t="s">
        <v>3142</v>
      </c>
    </row>
    <row r="528" spans="1:55" x14ac:dyDescent="0.2">
      <c r="A528" s="184" t="s">
        <v>2128</v>
      </c>
      <c r="B528" s="184" t="s">
        <v>2127</v>
      </c>
      <c r="C528" s="184" t="s">
        <v>934</v>
      </c>
      <c r="D528" s="185" t="s">
        <v>1043</v>
      </c>
      <c r="E528" s="184" t="s">
        <v>2129</v>
      </c>
      <c r="F528" s="184" t="s">
        <v>2129</v>
      </c>
      <c r="G528" s="186">
        <f>IF(ALECA_Input!$F$13="ICAO (3000ft)",'Aircraft Calc'!C$211,'Aircraft Calc'!G$211)</f>
        <v>0.7</v>
      </c>
      <c r="H528" s="186">
        <f>IF(ALECA_Input!$F$13="ICAO (3000ft)",'Aircraft Calc'!D$211,'Aircraft Calc'!H$211)</f>
        <v>2.2000000000000002</v>
      </c>
      <c r="I528" s="186">
        <f>IF(ALECA_Input!$F$13="ICAO (3000ft)",'Aircraft Calc'!E$211,'Aircraft Calc'!I$211)</f>
        <v>4</v>
      </c>
      <c r="J528" s="189">
        <v>1</v>
      </c>
      <c r="K528" s="187">
        <f t="shared" si="121"/>
        <v>437.16</v>
      </c>
      <c r="L528" s="187">
        <f t="shared" si="122"/>
        <v>13.747221600000003</v>
      </c>
      <c r="M528" s="187">
        <f t="shared" si="123"/>
        <v>4.8335999999999995E-3</v>
      </c>
      <c r="N528" s="187">
        <f t="shared" si="124"/>
        <v>0.35139840000000006</v>
      </c>
      <c r="O528" s="187">
        <f t="shared" si="125"/>
        <v>3.5914305554105609E-2</v>
      </c>
      <c r="P528" s="188">
        <f t="shared" si="126"/>
        <v>2.1751802002103635E+17</v>
      </c>
      <c r="Q528" s="187">
        <f t="shared" si="127"/>
        <v>11400</v>
      </c>
      <c r="R528" s="219">
        <f t="shared" si="128"/>
        <v>40.128</v>
      </c>
      <c r="S528" s="219">
        <f t="shared" si="129"/>
        <v>3.1920000000000006</v>
      </c>
      <c r="T528" s="219">
        <f t="shared" si="130"/>
        <v>134.06399999999999</v>
      </c>
      <c r="U528" s="219">
        <f t="shared" si="131"/>
        <v>0.89752818104640908</v>
      </c>
      <c r="V528" s="188">
        <f t="shared" si="132"/>
        <v>1.6130731361361334E+16</v>
      </c>
      <c r="W528" s="323">
        <v>2.08</v>
      </c>
      <c r="X528" s="323">
        <v>1.6500000000000001</v>
      </c>
      <c r="Y528" s="323">
        <v>0.55000000000000004</v>
      </c>
      <c r="Z528" s="323">
        <v>0.19</v>
      </c>
      <c r="AA528" s="323">
        <v>54.46</v>
      </c>
      <c r="AB528" s="323">
        <v>36.82</v>
      </c>
      <c r="AC528" s="323">
        <v>7.3500000000000005</v>
      </c>
      <c r="AD528" s="323">
        <v>3.52</v>
      </c>
      <c r="AE528" s="323">
        <v>0.01</v>
      </c>
      <c r="AF528" s="323">
        <v>0</v>
      </c>
      <c r="AG528" s="323">
        <v>0.03</v>
      </c>
      <c r="AH528" s="323">
        <v>0.28000000000000003</v>
      </c>
      <c r="AI528" s="323">
        <v>0.94000000000000006</v>
      </c>
      <c r="AJ528" s="323">
        <v>0.6</v>
      </c>
      <c r="AK528" s="323">
        <v>1.05</v>
      </c>
      <c r="AL528" s="323">
        <v>11.76</v>
      </c>
      <c r="AM528" s="323">
        <v>3.7749787931049855E-2</v>
      </c>
      <c r="AN528" s="323">
        <v>3.668491493751385E-2</v>
      </c>
      <c r="AO528" s="323">
        <v>2.1969257629231614E-2</v>
      </c>
      <c r="AP528" s="323">
        <v>2.804294219705342E-2</v>
      </c>
      <c r="AQ528" s="323">
        <v>8.7859787931049857E-2</v>
      </c>
      <c r="AR528" s="323">
        <v>8.5644914937513861E-2</v>
      </c>
      <c r="AS528" s="323">
        <v>7.2616757629231629E-2</v>
      </c>
      <c r="AT528" s="323">
        <v>7.873054219705343E-2</v>
      </c>
      <c r="AU528" s="190">
        <v>238094936602777.16</v>
      </c>
      <c r="AV528" s="190">
        <v>231378584491102.84</v>
      </c>
      <c r="AW528" s="190">
        <v>1108513565585269.1</v>
      </c>
      <c r="AX528" s="190">
        <v>1414976435207134.5</v>
      </c>
      <c r="AY528" s="203">
        <v>14.8</v>
      </c>
      <c r="AZ528" s="239">
        <v>191.73000000000002</v>
      </c>
      <c r="BA528" s="203">
        <v>1991</v>
      </c>
      <c r="BB528" s="204">
        <v>39296</v>
      </c>
      <c r="BC528" s="203" t="s">
        <v>3102</v>
      </c>
    </row>
    <row r="529" spans="1:55" x14ac:dyDescent="0.2">
      <c r="A529" s="184" t="s">
        <v>2131</v>
      </c>
      <c r="B529" s="184" t="s">
        <v>2130</v>
      </c>
      <c r="C529" s="184" t="s">
        <v>934</v>
      </c>
      <c r="D529" s="185" t="s">
        <v>1043</v>
      </c>
      <c r="E529" s="184" t="s">
        <v>2113</v>
      </c>
      <c r="F529" s="184" t="s">
        <v>2112</v>
      </c>
      <c r="G529" s="186">
        <f>IF(ALECA_Input!$F$13="ICAO (3000ft)",'Aircraft Calc'!C$211,'Aircraft Calc'!G$211)</f>
        <v>0.7</v>
      </c>
      <c r="H529" s="186">
        <f>IF(ALECA_Input!$F$13="ICAO (3000ft)",'Aircraft Calc'!D$211,'Aircraft Calc'!H$211)</f>
        <v>2.2000000000000002</v>
      </c>
      <c r="I529" s="186">
        <f>IF(ALECA_Input!$F$13="ICAO (3000ft)",'Aircraft Calc'!E$211,'Aircraft Calc'!I$211)</f>
        <v>4</v>
      </c>
      <c r="J529" s="189">
        <v>1</v>
      </c>
      <c r="K529" s="187">
        <f t="shared" si="121"/>
        <v>480.3</v>
      </c>
      <c r="L529" s="187">
        <f t="shared" si="122"/>
        <v>15.362142000000002</v>
      </c>
      <c r="M529" s="187">
        <f t="shared" si="123"/>
        <v>0.2034726</v>
      </c>
      <c r="N529" s="187">
        <f t="shared" si="124"/>
        <v>0.3788184</v>
      </c>
      <c r="O529" s="187">
        <f t="shared" si="125"/>
        <v>7.3320647946611778E-2</v>
      </c>
      <c r="P529" s="188">
        <f t="shared" si="126"/>
        <v>4.0315948074129037E+17</v>
      </c>
      <c r="Q529" s="187">
        <f t="shared" si="127"/>
        <v>14399.999999999998</v>
      </c>
      <c r="R529" s="219">
        <f t="shared" si="128"/>
        <v>60.48</v>
      </c>
      <c r="S529" s="219">
        <f t="shared" si="129"/>
        <v>28.08</v>
      </c>
      <c r="T529" s="219">
        <f t="shared" si="130"/>
        <v>178.416</v>
      </c>
      <c r="U529" s="219">
        <f t="shared" si="131"/>
        <v>0.99112003589316156</v>
      </c>
      <c r="V529" s="188">
        <f t="shared" si="132"/>
        <v>5693745918606668</v>
      </c>
      <c r="W529" s="323">
        <v>2.21</v>
      </c>
      <c r="X529" s="323">
        <v>1.79</v>
      </c>
      <c r="Y529" s="323">
        <v>0.63</v>
      </c>
      <c r="Z529" s="323">
        <v>0.24</v>
      </c>
      <c r="AA529" s="323">
        <v>52.300000000000004</v>
      </c>
      <c r="AB529" s="323">
        <v>38.200000000000003</v>
      </c>
      <c r="AC529" s="323">
        <v>9.8000000000000007</v>
      </c>
      <c r="AD529" s="323">
        <v>4.2</v>
      </c>
      <c r="AE529" s="323">
        <v>0.39</v>
      </c>
      <c r="AF529" s="323">
        <v>0.26</v>
      </c>
      <c r="AG529" s="323">
        <v>0.70000000000000007</v>
      </c>
      <c r="AH529" s="323">
        <v>1.95</v>
      </c>
      <c r="AI529" s="323">
        <v>0.70000000000000007</v>
      </c>
      <c r="AJ529" s="323">
        <v>0.33</v>
      </c>
      <c r="AK529" s="323">
        <v>1.56</v>
      </c>
      <c r="AL529" s="323">
        <v>12.39</v>
      </c>
      <c r="AM529" s="323">
        <v>0.10847172339231168</v>
      </c>
      <c r="AN529" s="323">
        <v>8.8127431191618991E-2</v>
      </c>
      <c r="AO529" s="323">
        <v>2.7306186107021544E-2</v>
      </c>
      <c r="AP529" s="323">
        <v>7.8362802703584571E-3</v>
      </c>
      <c r="AQ529" s="323">
        <v>0.20228172339231171</v>
      </c>
      <c r="AR529" s="323">
        <v>0.15684743119161901</v>
      </c>
      <c r="AS529" s="323">
        <v>0.11564118610702154</v>
      </c>
      <c r="AT529" s="323">
        <v>6.8827780270358449E-2</v>
      </c>
      <c r="AU529" s="190">
        <v>684151342822342.75</v>
      </c>
      <c r="AV529" s="190">
        <v>555836106440097.38</v>
      </c>
      <c r="AW529" s="190">
        <v>1377801573219935.8</v>
      </c>
      <c r="AX529" s="190">
        <v>395399022125463.13</v>
      </c>
      <c r="AY529" s="203">
        <v>16.899999999999999</v>
      </c>
      <c r="AZ529" s="239">
        <v>218.5</v>
      </c>
      <c r="BA529" s="203">
        <v>1986</v>
      </c>
      <c r="BB529" s="204">
        <v>39296</v>
      </c>
      <c r="BC529" s="203" t="s">
        <v>2132</v>
      </c>
    </row>
    <row r="530" spans="1:55" x14ac:dyDescent="0.2">
      <c r="A530" s="184" t="s">
        <v>2131</v>
      </c>
      <c r="B530" s="184" t="s">
        <v>2133</v>
      </c>
      <c r="C530" s="184" t="s">
        <v>934</v>
      </c>
      <c r="D530" s="185" t="s">
        <v>1043</v>
      </c>
      <c r="E530" s="184" t="s">
        <v>2134</v>
      </c>
      <c r="F530" s="184" t="s">
        <v>2134</v>
      </c>
      <c r="G530" s="186">
        <f>IF(ALECA_Input!$F$13="ICAO (3000ft)",'Aircraft Calc'!C$211,'Aircraft Calc'!G$211)</f>
        <v>0.7</v>
      </c>
      <c r="H530" s="186">
        <f>IF(ALECA_Input!$F$13="ICAO (3000ft)",'Aircraft Calc'!D$211,'Aircraft Calc'!H$211)</f>
        <v>2.2000000000000002</v>
      </c>
      <c r="I530" s="186">
        <f>IF(ALECA_Input!$F$13="ICAO (3000ft)",'Aircraft Calc'!E$211,'Aircraft Calc'!I$211)</f>
        <v>4</v>
      </c>
      <c r="J530" s="189">
        <v>1</v>
      </c>
      <c r="K530" s="187">
        <f t="shared" si="121"/>
        <v>480.3</v>
      </c>
      <c r="L530" s="187">
        <f t="shared" si="122"/>
        <v>15.362142000000002</v>
      </c>
      <c r="M530" s="187">
        <f t="shared" si="123"/>
        <v>0.22710059999999999</v>
      </c>
      <c r="N530" s="187">
        <f t="shared" si="124"/>
        <v>0.3788184</v>
      </c>
      <c r="O530" s="187">
        <f t="shared" si="125"/>
        <v>7.1149160136330283E-2</v>
      </c>
      <c r="P530" s="188">
        <f t="shared" si="126"/>
        <v>5.0811288791269069E+17</v>
      </c>
      <c r="Q530" s="187">
        <f t="shared" si="127"/>
        <v>14399.999999999998</v>
      </c>
      <c r="R530" s="219">
        <f t="shared" si="128"/>
        <v>60.48</v>
      </c>
      <c r="S530" s="219">
        <f t="shared" si="129"/>
        <v>28.08</v>
      </c>
      <c r="T530" s="219">
        <f t="shared" si="130"/>
        <v>178.416</v>
      </c>
      <c r="U530" s="219">
        <f t="shared" si="131"/>
        <v>1.7363199071721749</v>
      </c>
      <c r="V530" s="188">
        <f t="shared" si="132"/>
        <v>4.3294659901519192E+16</v>
      </c>
      <c r="W530" s="323">
        <v>2.21</v>
      </c>
      <c r="X530" s="323">
        <v>1.79</v>
      </c>
      <c r="Y530" s="323">
        <v>0.63</v>
      </c>
      <c r="Z530" s="323">
        <v>0.24</v>
      </c>
      <c r="AA530" s="323">
        <v>52.300000000000004</v>
      </c>
      <c r="AB530" s="323">
        <v>38.200000000000003</v>
      </c>
      <c r="AC530" s="323">
        <v>9.8000000000000007</v>
      </c>
      <c r="AD530" s="323">
        <v>4.2</v>
      </c>
      <c r="AE530" s="323">
        <v>0.39</v>
      </c>
      <c r="AF530" s="323">
        <v>0.36</v>
      </c>
      <c r="AG530" s="323">
        <v>0.70000000000000007</v>
      </c>
      <c r="AH530" s="323">
        <v>1.95</v>
      </c>
      <c r="AI530" s="323">
        <v>0.70000000000000007</v>
      </c>
      <c r="AJ530" s="323">
        <v>0.33</v>
      </c>
      <c r="AK530" s="323">
        <v>1.56</v>
      </c>
      <c r="AL530" s="323">
        <v>12.39</v>
      </c>
      <c r="AM530" s="323">
        <v>7.126616845623604E-2</v>
      </c>
      <c r="AN530" s="323">
        <v>7.3493413733350929E-2</v>
      </c>
      <c r="AO530" s="323">
        <v>4.6776618937210919E-2</v>
      </c>
      <c r="AP530" s="323">
        <v>5.9586271331401042E-2</v>
      </c>
      <c r="AQ530" s="323">
        <v>0.16507616845623604</v>
      </c>
      <c r="AR530" s="323">
        <v>0.14981341373335091</v>
      </c>
      <c r="AS530" s="323">
        <v>0.13511161893721094</v>
      </c>
      <c r="AT530" s="323">
        <v>0.12057777133140105</v>
      </c>
      <c r="AU530" s="190">
        <v>449488984984569.69</v>
      </c>
      <c r="AV530" s="190">
        <v>463536635371959.69</v>
      </c>
      <c r="AW530" s="190">
        <v>2360230715084234.5</v>
      </c>
      <c r="AX530" s="190">
        <v>3006573604272166.5</v>
      </c>
      <c r="AY530" s="203">
        <v>16.899999999999999</v>
      </c>
      <c r="AZ530" s="239">
        <v>218.5</v>
      </c>
      <c r="BA530" s="203">
        <v>1986</v>
      </c>
      <c r="BB530" s="204">
        <v>35684</v>
      </c>
      <c r="BC530" s="203" t="s">
        <v>3143</v>
      </c>
    </row>
    <row r="531" spans="1:55" x14ac:dyDescent="0.2">
      <c r="A531" s="184" t="s">
        <v>2131</v>
      </c>
      <c r="B531" s="184" t="s">
        <v>2135</v>
      </c>
      <c r="C531" s="184" t="s">
        <v>934</v>
      </c>
      <c r="D531" s="185" t="s">
        <v>1043</v>
      </c>
      <c r="E531" s="184" t="s">
        <v>2136</v>
      </c>
      <c r="F531" s="184" t="s">
        <v>2136</v>
      </c>
      <c r="G531" s="186">
        <f>IF(ALECA_Input!$F$13="ICAO (3000ft)",'Aircraft Calc'!C$211,'Aircraft Calc'!G$211)</f>
        <v>0.7</v>
      </c>
      <c r="H531" s="186">
        <f>IF(ALECA_Input!$F$13="ICAO (3000ft)",'Aircraft Calc'!D$211,'Aircraft Calc'!H$211)</f>
        <v>2.2000000000000002</v>
      </c>
      <c r="I531" s="186">
        <f>IF(ALECA_Input!$F$13="ICAO (3000ft)",'Aircraft Calc'!E$211,'Aircraft Calc'!I$211)</f>
        <v>4</v>
      </c>
      <c r="J531" s="189">
        <v>1</v>
      </c>
      <c r="K531" s="187">
        <f t="shared" si="121"/>
        <v>480.3</v>
      </c>
      <c r="L531" s="187">
        <f t="shared" si="122"/>
        <v>15.362142000000002</v>
      </c>
      <c r="M531" s="187">
        <f t="shared" si="123"/>
        <v>0.2034726</v>
      </c>
      <c r="N531" s="187">
        <f t="shared" si="124"/>
        <v>0.3788184</v>
      </c>
      <c r="O531" s="187">
        <f t="shared" si="125"/>
        <v>6.9353432136330287E-2</v>
      </c>
      <c r="P531" s="188">
        <f t="shared" si="126"/>
        <v>5.0811288791269069E+17</v>
      </c>
      <c r="Q531" s="187">
        <f t="shared" si="127"/>
        <v>14399.999999999998</v>
      </c>
      <c r="R531" s="219">
        <f t="shared" si="128"/>
        <v>60.48</v>
      </c>
      <c r="S531" s="219">
        <f t="shared" si="129"/>
        <v>28.08</v>
      </c>
      <c r="T531" s="219">
        <f t="shared" si="130"/>
        <v>178.416</v>
      </c>
      <c r="U531" s="219">
        <f t="shared" si="131"/>
        <v>1.7363199071721749</v>
      </c>
      <c r="V531" s="188">
        <f t="shared" si="132"/>
        <v>4.3294659901519192E+16</v>
      </c>
      <c r="W531" s="323">
        <v>2.21</v>
      </c>
      <c r="X531" s="323">
        <v>1.79</v>
      </c>
      <c r="Y531" s="323">
        <v>0.63</v>
      </c>
      <c r="Z531" s="323">
        <v>0.24</v>
      </c>
      <c r="AA531" s="323">
        <v>52.300000000000004</v>
      </c>
      <c r="AB531" s="323">
        <v>38.200000000000003</v>
      </c>
      <c r="AC531" s="323">
        <v>9.8000000000000007</v>
      </c>
      <c r="AD531" s="323">
        <v>4.2</v>
      </c>
      <c r="AE531" s="323">
        <v>0.39</v>
      </c>
      <c r="AF531" s="323">
        <v>0.26</v>
      </c>
      <c r="AG531" s="323">
        <v>0.70000000000000007</v>
      </c>
      <c r="AH531" s="323">
        <v>1.95</v>
      </c>
      <c r="AI531" s="323">
        <v>0.70000000000000007</v>
      </c>
      <c r="AJ531" s="323">
        <v>0.33</v>
      </c>
      <c r="AK531" s="323">
        <v>1.56</v>
      </c>
      <c r="AL531" s="323">
        <v>12.39</v>
      </c>
      <c r="AM531" s="323">
        <v>7.126616845623604E-2</v>
      </c>
      <c r="AN531" s="323">
        <v>7.3493413733350929E-2</v>
      </c>
      <c r="AO531" s="323">
        <v>4.6776618937210919E-2</v>
      </c>
      <c r="AP531" s="323">
        <v>5.9586271331401042E-2</v>
      </c>
      <c r="AQ531" s="323">
        <v>0.16507616845623604</v>
      </c>
      <c r="AR531" s="323">
        <v>0.14221341373335092</v>
      </c>
      <c r="AS531" s="323">
        <v>0.13511161893721094</v>
      </c>
      <c r="AT531" s="323">
        <v>0.12057777133140105</v>
      </c>
      <c r="AU531" s="190">
        <v>449488984984569.69</v>
      </c>
      <c r="AV531" s="190">
        <v>463536635371959.69</v>
      </c>
      <c r="AW531" s="190">
        <v>2360230715084234.5</v>
      </c>
      <c r="AX531" s="190">
        <v>3006573604272166.5</v>
      </c>
      <c r="AY531" s="203">
        <v>16.899999999999999</v>
      </c>
      <c r="AZ531" s="239">
        <v>218.5</v>
      </c>
      <c r="BA531" s="203">
        <v>1986</v>
      </c>
      <c r="BB531" s="204">
        <v>35684</v>
      </c>
      <c r="BC531" s="203" t="s">
        <v>1109</v>
      </c>
    </row>
    <row r="532" spans="1:55" x14ac:dyDescent="0.2">
      <c r="A532" s="184" t="s">
        <v>2131</v>
      </c>
      <c r="B532" s="184" t="s">
        <v>2137</v>
      </c>
      <c r="C532" s="184" t="s">
        <v>934</v>
      </c>
      <c r="D532" s="185" t="s">
        <v>1043</v>
      </c>
      <c r="E532" s="184" t="s">
        <v>2138</v>
      </c>
      <c r="F532" s="184" t="s">
        <v>2138</v>
      </c>
      <c r="G532" s="186">
        <f>IF(ALECA_Input!$F$13="ICAO (3000ft)",'Aircraft Calc'!C$211,'Aircraft Calc'!G$211)</f>
        <v>0.7</v>
      </c>
      <c r="H532" s="186">
        <f>IF(ALECA_Input!$F$13="ICAO (3000ft)",'Aircraft Calc'!D$211,'Aircraft Calc'!H$211)</f>
        <v>2.2000000000000002</v>
      </c>
      <c r="I532" s="186">
        <f>IF(ALECA_Input!$F$13="ICAO (3000ft)",'Aircraft Calc'!E$211,'Aircraft Calc'!I$211)</f>
        <v>4</v>
      </c>
      <c r="J532" s="189">
        <v>1</v>
      </c>
      <c r="K532" s="187">
        <f t="shared" si="121"/>
        <v>480.3</v>
      </c>
      <c r="L532" s="187">
        <f t="shared" si="122"/>
        <v>15.362142000000002</v>
      </c>
      <c r="M532" s="187">
        <f t="shared" si="123"/>
        <v>0.2034726</v>
      </c>
      <c r="N532" s="187">
        <f t="shared" si="124"/>
        <v>0.3788184</v>
      </c>
      <c r="O532" s="187">
        <f t="shared" si="125"/>
        <v>6.9353432136330287E-2</v>
      </c>
      <c r="P532" s="188">
        <f t="shared" si="126"/>
        <v>5.0811288791269069E+17</v>
      </c>
      <c r="Q532" s="187">
        <f t="shared" si="127"/>
        <v>14399.999999999998</v>
      </c>
      <c r="R532" s="219">
        <f t="shared" si="128"/>
        <v>60.48</v>
      </c>
      <c r="S532" s="219">
        <f t="shared" si="129"/>
        <v>28.08</v>
      </c>
      <c r="T532" s="219">
        <f t="shared" si="130"/>
        <v>178.416</v>
      </c>
      <c r="U532" s="219">
        <f t="shared" si="131"/>
        <v>1.7363199071721749</v>
      </c>
      <c r="V532" s="188">
        <f t="shared" si="132"/>
        <v>4.3294659901519192E+16</v>
      </c>
      <c r="W532" s="323">
        <v>2.21</v>
      </c>
      <c r="X532" s="323">
        <v>1.79</v>
      </c>
      <c r="Y532" s="323">
        <v>0.63</v>
      </c>
      <c r="Z532" s="323">
        <v>0.24</v>
      </c>
      <c r="AA532" s="323">
        <v>52.300000000000004</v>
      </c>
      <c r="AB532" s="323">
        <v>38.200000000000003</v>
      </c>
      <c r="AC532" s="323">
        <v>9.8000000000000007</v>
      </c>
      <c r="AD532" s="323">
        <v>4.2</v>
      </c>
      <c r="AE532" s="323">
        <v>0.39</v>
      </c>
      <c r="AF532" s="323">
        <v>0.26</v>
      </c>
      <c r="AG532" s="323">
        <v>0.70000000000000007</v>
      </c>
      <c r="AH532" s="323">
        <v>1.95</v>
      </c>
      <c r="AI532" s="323">
        <v>0.70000000000000007</v>
      </c>
      <c r="AJ532" s="323">
        <v>0.33</v>
      </c>
      <c r="AK532" s="323">
        <v>1.56</v>
      </c>
      <c r="AL532" s="323">
        <v>12.39</v>
      </c>
      <c r="AM532" s="323">
        <v>7.126616845623604E-2</v>
      </c>
      <c r="AN532" s="323">
        <v>7.3493413733350929E-2</v>
      </c>
      <c r="AO532" s="323">
        <v>4.6776618937210919E-2</v>
      </c>
      <c r="AP532" s="323">
        <v>5.9586271331401042E-2</v>
      </c>
      <c r="AQ532" s="323">
        <v>0.16507616845623604</v>
      </c>
      <c r="AR532" s="323">
        <v>0.14221341373335092</v>
      </c>
      <c r="AS532" s="323">
        <v>0.13511161893721094</v>
      </c>
      <c r="AT532" s="323">
        <v>0.12057777133140105</v>
      </c>
      <c r="AU532" s="190">
        <v>449488984984569.69</v>
      </c>
      <c r="AV532" s="190">
        <v>463536635371959.69</v>
      </c>
      <c r="AW532" s="190">
        <v>2360230715084234.5</v>
      </c>
      <c r="AX532" s="190">
        <v>3006573604272166.5</v>
      </c>
      <c r="AY532" s="203">
        <v>16.899999999999999</v>
      </c>
      <c r="AZ532" s="239">
        <v>218.5</v>
      </c>
      <c r="BA532" s="203">
        <v>1986</v>
      </c>
      <c r="BB532" s="204">
        <v>35684</v>
      </c>
      <c r="BC532" s="203" t="s">
        <v>1109</v>
      </c>
    </row>
    <row r="533" spans="1:55" x14ac:dyDescent="0.2">
      <c r="A533" s="184" t="s">
        <v>2140</v>
      </c>
      <c r="B533" s="184" t="s">
        <v>2139</v>
      </c>
      <c r="C533" s="184" t="s">
        <v>934</v>
      </c>
      <c r="D533" s="185" t="s">
        <v>1043</v>
      </c>
      <c r="E533" s="184" t="s">
        <v>2141</v>
      </c>
      <c r="F533" s="184" t="s">
        <v>2142</v>
      </c>
      <c r="G533" s="186">
        <f>IF(ALECA_Input!$F$13="ICAO (3000ft)",'Aircraft Calc'!C$211,'Aircraft Calc'!G$211)</f>
        <v>0.7</v>
      </c>
      <c r="H533" s="186">
        <f>IF(ALECA_Input!$F$13="ICAO (3000ft)",'Aircraft Calc'!D$211,'Aircraft Calc'!H$211)</f>
        <v>2.2000000000000002</v>
      </c>
      <c r="I533" s="186">
        <f>IF(ALECA_Input!$F$13="ICAO (3000ft)",'Aircraft Calc'!E$211,'Aircraft Calc'!I$211)</f>
        <v>4</v>
      </c>
      <c r="J533" s="189">
        <v>1</v>
      </c>
      <c r="K533" s="187">
        <f t="shared" si="121"/>
        <v>548.40000000000009</v>
      </c>
      <c r="L533" s="187">
        <f t="shared" si="122"/>
        <v>14.823815999999999</v>
      </c>
      <c r="M533" s="187">
        <f t="shared" si="123"/>
        <v>0.84365279999999998</v>
      </c>
      <c r="N533" s="187">
        <f t="shared" si="124"/>
        <v>3.8600088000000006</v>
      </c>
      <c r="O533" s="187">
        <f t="shared" si="125"/>
        <v>0.11735622870440622</v>
      </c>
      <c r="P533" s="188">
        <f t="shared" si="126"/>
        <v>7.2430233333065754E+17</v>
      </c>
      <c r="Q533" s="187">
        <f t="shared" si="127"/>
        <v>18000</v>
      </c>
      <c r="R533" s="219">
        <f t="shared" si="128"/>
        <v>60.660000000000004</v>
      </c>
      <c r="S533" s="219">
        <f t="shared" si="129"/>
        <v>975.6</v>
      </c>
      <c r="T533" s="219">
        <f t="shared" si="130"/>
        <v>1458</v>
      </c>
      <c r="U533" s="219">
        <f t="shared" si="131"/>
        <v>8.2461119729078476</v>
      </c>
      <c r="V533" s="188">
        <f t="shared" si="132"/>
        <v>6.7884494597155528E+16</v>
      </c>
      <c r="W533" s="323">
        <v>2.48</v>
      </c>
      <c r="X533" s="323">
        <v>2.02</v>
      </c>
      <c r="Y533" s="323">
        <v>0.74</v>
      </c>
      <c r="Z533" s="323">
        <v>0.3</v>
      </c>
      <c r="AA533" s="323">
        <v>41.9</v>
      </c>
      <c r="AB533" s="323">
        <v>32.299999999999997</v>
      </c>
      <c r="AC533" s="323">
        <v>10.4</v>
      </c>
      <c r="AD533" s="323">
        <v>3.37</v>
      </c>
      <c r="AE533" s="323">
        <v>0</v>
      </c>
      <c r="AF533" s="323">
        <v>0.22</v>
      </c>
      <c r="AG533" s="323">
        <v>4.42</v>
      </c>
      <c r="AH533" s="323">
        <v>54.2</v>
      </c>
      <c r="AI533" s="323">
        <v>0.66</v>
      </c>
      <c r="AJ533" s="323">
        <v>1.6300000000000001</v>
      </c>
      <c r="AK533" s="323">
        <v>18.900000000000002</v>
      </c>
      <c r="AL533" s="323">
        <v>81</v>
      </c>
      <c r="AM533" s="323">
        <v>8.4019336874528824E-2</v>
      </c>
      <c r="AN533" s="323">
        <v>8.5209880147124481E-2</v>
      </c>
      <c r="AO533" s="323">
        <v>5.8675266515349149E-2</v>
      </c>
      <c r="AP533" s="323">
        <v>7.4743331828213772E-2</v>
      </c>
      <c r="AQ533" s="323">
        <v>0.13297933687452884</v>
      </c>
      <c r="AR533" s="323">
        <v>0.15088988014712448</v>
      </c>
      <c r="AS533" s="323">
        <v>0.35626026651534914</v>
      </c>
      <c r="AT533" s="323">
        <v>0.45811733182821379</v>
      </c>
      <c r="AU533" s="190">
        <v>529925591187075.38</v>
      </c>
      <c r="AV533" s="190">
        <v>537434569132309.75</v>
      </c>
      <c r="AW533" s="190">
        <v>2960606589184530.5</v>
      </c>
      <c r="AX533" s="190">
        <v>3771360810953085</v>
      </c>
      <c r="AY533" s="203">
        <v>65.599999999999994</v>
      </c>
      <c r="AZ533" s="239">
        <v>224.8</v>
      </c>
      <c r="BA533" s="203">
        <v>1986</v>
      </c>
      <c r="BB533" s="204">
        <v>35684</v>
      </c>
      <c r="BC533" s="203" t="s">
        <v>741</v>
      </c>
    </row>
    <row r="534" spans="1:55" x14ac:dyDescent="0.2">
      <c r="A534" s="184" t="s">
        <v>2144</v>
      </c>
      <c r="B534" s="184" t="s">
        <v>2143</v>
      </c>
      <c r="C534" s="184" t="s">
        <v>934</v>
      </c>
      <c r="D534" s="185" t="s">
        <v>1043</v>
      </c>
      <c r="E534" s="184" t="s">
        <v>2117</v>
      </c>
      <c r="F534" s="184" t="s">
        <v>2145</v>
      </c>
      <c r="G534" s="186">
        <f>IF(ALECA_Input!$F$13="ICAO (3000ft)",'Aircraft Calc'!C$211,'Aircraft Calc'!G$211)</f>
        <v>0.7</v>
      </c>
      <c r="H534" s="186">
        <f>IF(ALECA_Input!$F$13="ICAO (3000ft)",'Aircraft Calc'!D$211,'Aircraft Calc'!H$211)</f>
        <v>2.2000000000000002</v>
      </c>
      <c r="I534" s="186">
        <f>IF(ALECA_Input!$F$13="ICAO (3000ft)",'Aircraft Calc'!E$211,'Aircraft Calc'!I$211)</f>
        <v>4</v>
      </c>
      <c r="J534" s="189">
        <v>1</v>
      </c>
      <c r="K534" s="187">
        <f t="shared" si="121"/>
        <v>552.6</v>
      </c>
      <c r="L534" s="187">
        <f t="shared" si="122"/>
        <v>19.197190800000005</v>
      </c>
      <c r="M534" s="187">
        <f t="shared" si="123"/>
        <v>0.17920680000000005</v>
      </c>
      <c r="N534" s="187">
        <f t="shared" si="124"/>
        <v>0.35266440000000004</v>
      </c>
      <c r="O534" s="187">
        <f t="shared" si="125"/>
        <v>0.10178432081038002</v>
      </c>
      <c r="P534" s="188">
        <f t="shared" si="126"/>
        <v>6.875802119985001E+17</v>
      </c>
      <c r="Q534" s="187">
        <f t="shared" si="127"/>
        <v>15600.000000000002</v>
      </c>
      <c r="R534" s="219">
        <f t="shared" si="128"/>
        <v>72.228000000000009</v>
      </c>
      <c r="S534" s="219">
        <f t="shared" si="129"/>
        <v>13.884000000000002</v>
      </c>
      <c r="T534" s="219">
        <f t="shared" si="130"/>
        <v>214.34400000000002</v>
      </c>
      <c r="U534" s="219">
        <f t="shared" si="131"/>
        <v>1.6681824335648157</v>
      </c>
      <c r="V534" s="188">
        <f t="shared" si="132"/>
        <v>4.1311672850314664E+16</v>
      </c>
      <c r="W534" s="323">
        <v>2.62</v>
      </c>
      <c r="X534" s="323">
        <v>2.08</v>
      </c>
      <c r="Y534" s="323">
        <v>0.70000000000000007</v>
      </c>
      <c r="Z534" s="323">
        <v>0.26</v>
      </c>
      <c r="AA534" s="323">
        <v>58.71</v>
      </c>
      <c r="AB534" s="323">
        <v>40.54</v>
      </c>
      <c r="AC534" s="323">
        <v>9.56</v>
      </c>
      <c r="AD534" s="323">
        <v>4.63</v>
      </c>
      <c r="AE534" s="323">
        <v>0.39</v>
      </c>
      <c r="AF534" s="323">
        <v>0.27</v>
      </c>
      <c r="AG534" s="323">
        <v>0.37</v>
      </c>
      <c r="AH534" s="323">
        <v>0.89</v>
      </c>
      <c r="AI534" s="323">
        <v>0.59</v>
      </c>
      <c r="AJ534" s="323">
        <v>0.43</v>
      </c>
      <c r="AK534" s="323">
        <v>1.01</v>
      </c>
      <c r="AL534" s="323">
        <v>13.74</v>
      </c>
      <c r="AM534" s="323">
        <v>0.1434712662428789</v>
      </c>
      <c r="AN534" s="323">
        <v>0.13828757788406471</v>
      </c>
      <c r="AO534" s="323">
        <v>4.1115738625980926E-2</v>
      </c>
      <c r="AP534" s="323">
        <v>5.2483471382359974E-2</v>
      </c>
      <c r="AQ534" s="323">
        <v>0.23728126624287887</v>
      </c>
      <c r="AR534" s="323">
        <v>0.20776757788406472</v>
      </c>
      <c r="AS534" s="323">
        <v>0.11088823862598093</v>
      </c>
      <c r="AT534" s="323">
        <v>0.10693477138235997</v>
      </c>
      <c r="AU534" s="190">
        <v>904899971963058.5</v>
      </c>
      <c r="AV534" s="190">
        <v>872205484952569.5</v>
      </c>
      <c r="AW534" s="190">
        <v>2074596911518497.5</v>
      </c>
      <c r="AX534" s="190">
        <v>2648184157071452.5</v>
      </c>
      <c r="AY534" s="203">
        <v>21.1</v>
      </c>
      <c r="AZ534" s="239">
        <v>253</v>
      </c>
      <c r="BA534" s="203">
        <v>1992</v>
      </c>
      <c r="BB534" s="204">
        <v>35684</v>
      </c>
      <c r="BC534" s="203" t="s">
        <v>3102</v>
      </c>
    </row>
    <row r="535" spans="1:55" x14ac:dyDescent="0.2">
      <c r="A535" s="184" t="s">
        <v>2147</v>
      </c>
      <c r="B535" s="184" t="s">
        <v>2146</v>
      </c>
      <c r="C535" s="184" t="s">
        <v>934</v>
      </c>
      <c r="D535" s="185" t="s">
        <v>1043</v>
      </c>
      <c r="E535" s="184" t="s">
        <v>2148</v>
      </c>
      <c r="F535" s="184" t="s">
        <v>2149</v>
      </c>
      <c r="G535" s="186">
        <f>IF(ALECA_Input!$F$13="ICAO (3000ft)",'Aircraft Calc'!C$211,'Aircraft Calc'!G$211)</f>
        <v>0.7</v>
      </c>
      <c r="H535" s="186">
        <f>IF(ALECA_Input!$F$13="ICAO (3000ft)",'Aircraft Calc'!D$211,'Aircraft Calc'!H$211)</f>
        <v>2.2000000000000002</v>
      </c>
      <c r="I535" s="186">
        <f>IF(ALECA_Input!$F$13="ICAO (3000ft)",'Aircraft Calc'!E$211,'Aircraft Calc'!I$211)</f>
        <v>4</v>
      </c>
      <c r="J535" s="189">
        <v>1</v>
      </c>
      <c r="K535" s="187">
        <f t="shared" si="121"/>
        <v>571.5</v>
      </c>
      <c r="L535" s="187">
        <f t="shared" si="122"/>
        <v>22.562554800000001</v>
      </c>
      <c r="M535" s="187">
        <f t="shared" si="123"/>
        <v>0.19485359999999996</v>
      </c>
      <c r="N535" s="187">
        <f t="shared" si="124"/>
        <v>0.37729739999999995</v>
      </c>
      <c r="O535" s="187">
        <f t="shared" si="125"/>
        <v>0.10556753939035964</v>
      </c>
      <c r="P535" s="188">
        <f t="shared" si="126"/>
        <v>7.0038786946996006E+17</v>
      </c>
      <c r="Q535" s="187">
        <f t="shared" si="127"/>
        <v>15600.000000000002</v>
      </c>
      <c r="R535" s="219">
        <f t="shared" si="128"/>
        <v>74.568000000000012</v>
      </c>
      <c r="S535" s="219">
        <f t="shared" si="129"/>
        <v>11.544</v>
      </c>
      <c r="T535" s="219">
        <f t="shared" si="130"/>
        <v>183.3</v>
      </c>
      <c r="U535" s="219">
        <f t="shared" si="131"/>
        <v>1.6459609139433051</v>
      </c>
      <c r="V535" s="188">
        <f t="shared" si="132"/>
        <v>4.0918925906527344E+16</v>
      </c>
      <c r="W535" s="323">
        <v>2.73</v>
      </c>
      <c r="X535" s="323">
        <v>2.17</v>
      </c>
      <c r="Y535" s="323">
        <v>0.71</v>
      </c>
      <c r="Z535" s="323">
        <v>0.26</v>
      </c>
      <c r="AA535" s="323">
        <v>65.84</v>
      </c>
      <c r="AB535" s="323">
        <v>46.31</v>
      </c>
      <c r="AC535" s="323">
        <v>10.26</v>
      </c>
      <c r="AD535" s="323">
        <v>4.78</v>
      </c>
      <c r="AE535" s="323">
        <v>0.34</v>
      </c>
      <c r="AF535" s="323">
        <v>0.33</v>
      </c>
      <c r="AG535" s="323">
        <v>0.36</v>
      </c>
      <c r="AH535" s="323">
        <v>0.74</v>
      </c>
      <c r="AI535" s="323">
        <v>0.87</v>
      </c>
      <c r="AJ535" s="323">
        <v>0.38</v>
      </c>
      <c r="AK535" s="323">
        <v>0.99</v>
      </c>
      <c r="AL535" s="323">
        <v>11.75</v>
      </c>
      <c r="AM535" s="323">
        <v>0.14211056600952329</v>
      </c>
      <c r="AN535" s="323">
        <v>0.1369753972619473</v>
      </c>
      <c r="AO535" s="323">
        <v>4.0725046361475975E-2</v>
      </c>
      <c r="AP535" s="323">
        <v>5.1984514996365694E-2</v>
      </c>
      <c r="AQ535" s="323">
        <v>0.23017056600952329</v>
      </c>
      <c r="AR535" s="323">
        <v>0.21101539726194732</v>
      </c>
      <c r="AS535" s="323">
        <v>0.10993504636147598</v>
      </c>
      <c r="AT535" s="323">
        <v>0.10551031499636571</v>
      </c>
      <c r="AU535" s="190">
        <v>896317782405121.5</v>
      </c>
      <c r="AV535" s="190">
        <v>863929317610780</v>
      </c>
      <c r="AW535" s="190">
        <v>2054883561050217.8</v>
      </c>
      <c r="AX535" s="190">
        <v>2623008070931240</v>
      </c>
      <c r="AY535" s="203">
        <v>24.5</v>
      </c>
      <c r="AZ535" s="239">
        <v>264.39999999999998</v>
      </c>
      <c r="BA535" s="203">
        <v>1992</v>
      </c>
      <c r="BB535" s="204">
        <v>35684</v>
      </c>
      <c r="BC535" s="203" t="s">
        <v>3102</v>
      </c>
    </row>
    <row r="536" spans="1:55" x14ac:dyDescent="0.2">
      <c r="A536" s="184" t="s">
        <v>665</v>
      </c>
      <c r="B536" s="184" t="s">
        <v>2150</v>
      </c>
      <c r="C536" s="184" t="s">
        <v>934</v>
      </c>
      <c r="D536" s="185" t="s">
        <v>1043</v>
      </c>
      <c r="E536" s="184" t="s">
        <v>247</v>
      </c>
      <c r="F536" s="184" t="s">
        <v>2151</v>
      </c>
      <c r="G536" s="186">
        <f>IF(ALECA_Input!$F$13="ICAO (3000ft)",'Aircraft Calc'!C$211,'Aircraft Calc'!G$211)</f>
        <v>0.7</v>
      </c>
      <c r="H536" s="186">
        <f>IF(ALECA_Input!$F$13="ICAO (3000ft)",'Aircraft Calc'!D$211,'Aircraft Calc'!H$211)</f>
        <v>2.2000000000000002</v>
      </c>
      <c r="I536" s="186">
        <f>IF(ALECA_Input!$F$13="ICAO (3000ft)",'Aircraft Calc'!E$211,'Aircraft Calc'!I$211)</f>
        <v>4</v>
      </c>
      <c r="J536" s="189">
        <v>1</v>
      </c>
      <c r="K536" s="187">
        <f t="shared" si="121"/>
        <v>399.24</v>
      </c>
      <c r="L536" s="187">
        <f t="shared" si="122"/>
        <v>8.2036835999999997</v>
      </c>
      <c r="M536" s="187">
        <f t="shared" si="123"/>
        <v>0.10308960000000002</v>
      </c>
      <c r="N536" s="187">
        <f t="shared" si="124"/>
        <v>0.1675188</v>
      </c>
      <c r="O536" s="187">
        <f t="shared" si="125"/>
        <v>4.4348147781033687E-2</v>
      </c>
      <c r="P536" s="188">
        <f t="shared" si="126"/>
        <v>2.3598294301493216E+17</v>
      </c>
      <c r="Q536" s="187">
        <f t="shared" si="127"/>
        <v>12000</v>
      </c>
      <c r="R536" s="219">
        <f t="shared" si="128"/>
        <v>41.28</v>
      </c>
      <c r="S536" s="219">
        <f t="shared" si="129"/>
        <v>17.28</v>
      </c>
      <c r="T536" s="219">
        <f t="shared" si="130"/>
        <v>225.48</v>
      </c>
      <c r="U536" s="219">
        <f t="shared" si="131"/>
        <v>1.0321327875550945</v>
      </c>
      <c r="V536" s="188">
        <f t="shared" si="132"/>
        <v>1.7054388310728906E+16</v>
      </c>
      <c r="W536" s="323">
        <v>1.8</v>
      </c>
      <c r="X536" s="323">
        <v>1.47</v>
      </c>
      <c r="Y536" s="323">
        <v>0.54</v>
      </c>
      <c r="Z536" s="323">
        <v>0.2</v>
      </c>
      <c r="AA536" s="323">
        <v>33.71</v>
      </c>
      <c r="AB536" s="323">
        <v>24.89</v>
      </c>
      <c r="AC536" s="323">
        <v>6.37</v>
      </c>
      <c r="AD536" s="323">
        <v>3.44</v>
      </c>
      <c r="AE536" s="323">
        <v>0.25</v>
      </c>
      <c r="AF536" s="323">
        <v>0.14000000000000001</v>
      </c>
      <c r="AG536" s="323">
        <v>0.44</v>
      </c>
      <c r="AH536" s="323">
        <v>1.44</v>
      </c>
      <c r="AI536" s="323">
        <v>0.70000000000000007</v>
      </c>
      <c r="AJ536" s="323">
        <v>0.27</v>
      </c>
      <c r="AK536" s="323">
        <v>0.48</v>
      </c>
      <c r="AL536" s="323">
        <v>18.79</v>
      </c>
      <c r="AM536" s="323">
        <v>5.1543045946465728E-2</v>
      </c>
      <c r="AN536" s="323">
        <v>5.459394346422574E-2</v>
      </c>
      <c r="AO536" s="323">
        <v>2.211117837717989E-2</v>
      </c>
      <c r="AP536" s="323">
        <v>2.8166265629591195E-2</v>
      </c>
      <c r="AQ536" s="323">
        <v>0.12925304594646572</v>
      </c>
      <c r="AR536" s="323">
        <v>0.11419394346422575</v>
      </c>
      <c r="AS536" s="323">
        <v>9.5821178377179891E-2</v>
      </c>
      <c r="AT536" s="323">
        <v>8.601106562959121E-2</v>
      </c>
      <c r="AU536" s="190">
        <v>325091581424322.19</v>
      </c>
      <c r="AV536" s="190">
        <v>344334159750839.38</v>
      </c>
      <c r="AW536" s="190">
        <v>1115674530101855.5</v>
      </c>
      <c r="AX536" s="190">
        <v>1421199025894075.5</v>
      </c>
      <c r="AY536" s="203">
        <v>9.3000000000000007</v>
      </c>
      <c r="AZ536" s="239">
        <v>163.30000000000001</v>
      </c>
      <c r="BA536" s="203">
        <v>1984</v>
      </c>
      <c r="BB536" s="204">
        <v>35684</v>
      </c>
      <c r="BC536" s="203" t="s">
        <v>3102</v>
      </c>
    </row>
    <row r="537" spans="1:55" x14ac:dyDescent="0.2">
      <c r="A537" s="184" t="s">
        <v>2153</v>
      </c>
      <c r="B537" s="184" t="s">
        <v>2152</v>
      </c>
      <c r="C537" s="184" t="s">
        <v>934</v>
      </c>
      <c r="D537" s="185" t="s">
        <v>1043</v>
      </c>
      <c r="E537" s="184" t="s">
        <v>369</v>
      </c>
      <c r="F537" s="184" t="s">
        <v>2154</v>
      </c>
      <c r="G537" s="186">
        <f>IF(ALECA_Input!$F$13="ICAO (3000ft)",'Aircraft Calc'!C$211,'Aircraft Calc'!G$211)</f>
        <v>0.7</v>
      </c>
      <c r="H537" s="186">
        <f>IF(ALECA_Input!$F$13="ICAO (3000ft)",'Aircraft Calc'!D$211,'Aircraft Calc'!H$211)</f>
        <v>2.2000000000000002</v>
      </c>
      <c r="I537" s="186">
        <f>IF(ALECA_Input!$F$13="ICAO (3000ft)",'Aircraft Calc'!E$211,'Aircraft Calc'!I$211)</f>
        <v>4</v>
      </c>
      <c r="J537" s="189">
        <v>1</v>
      </c>
      <c r="K537" s="187">
        <f t="shared" si="121"/>
        <v>400.50000000000006</v>
      </c>
      <c r="L537" s="187">
        <f t="shared" si="122"/>
        <v>6.2561910000000003</v>
      </c>
      <c r="M537" s="187">
        <f t="shared" si="123"/>
        <v>7.3230000000000005E-3</v>
      </c>
      <c r="N537" s="187">
        <f t="shared" si="124"/>
        <v>0.41707800000000012</v>
      </c>
      <c r="O537" s="187">
        <f t="shared" si="125"/>
        <v>0.10231542573926605</v>
      </c>
      <c r="P537" s="188">
        <f t="shared" si="126"/>
        <v>1.0432034248110331E+18</v>
      </c>
      <c r="Q537" s="187">
        <f t="shared" si="127"/>
        <v>10799.999999999998</v>
      </c>
      <c r="R537" s="219">
        <f t="shared" si="128"/>
        <v>47.519999999999996</v>
      </c>
      <c r="S537" s="219">
        <f t="shared" si="129"/>
        <v>2.9159999999999999</v>
      </c>
      <c r="T537" s="219">
        <f t="shared" si="130"/>
        <v>219.56399999999996</v>
      </c>
      <c r="U537" s="219">
        <f t="shared" si="131"/>
        <v>1.8603415999453146</v>
      </c>
      <c r="V537" s="188">
        <f t="shared" si="132"/>
        <v>6.628004268514332E+16</v>
      </c>
      <c r="W537" s="323">
        <v>1.85</v>
      </c>
      <c r="X537" s="323">
        <v>1.5</v>
      </c>
      <c r="Y537" s="323">
        <v>0.52</v>
      </c>
      <c r="Z537" s="323">
        <v>0.18</v>
      </c>
      <c r="AA537" s="323">
        <v>22.31</v>
      </c>
      <c r="AB537" s="323">
        <v>17.559999999999999</v>
      </c>
      <c r="AC537" s="323">
        <v>8.3800000000000008</v>
      </c>
      <c r="AD537" s="323">
        <v>4.4000000000000004</v>
      </c>
      <c r="AE537" s="323">
        <v>0.03</v>
      </c>
      <c r="AF537" s="323">
        <v>0</v>
      </c>
      <c r="AG537" s="323">
        <v>0.04</v>
      </c>
      <c r="AH537" s="323">
        <v>0.27</v>
      </c>
      <c r="AI537" s="323">
        <v>0.26</v>
      </c>
      <c r="AJ537" s="323">
        <v>0.28999999999999998</v>
      </c>
      <c r="AK537" s="323">
        <v>2.72</v>
      </c>
      <c r="AL537" s="323">
        <v>20.329999999999998</v>
      </c>
      <c r="AM537" s="323">
        <v>0.24409292282342537</v>
      </c>
      <c r="AN537" s="323">
        <v>0.25909330585668167</v>
      </c>
      <c r="AO537" s="323">
        <v>9.5285144841850314E-2</v>
      </c>
      <c r="AP537" s="323">
        <v>0.12162795184678842</v>
      </c>
      <c r="AQ537" s="323">
        <v>0.29650292282342539</v>
      </c>
      <c r="AR537" s="323">
        <v>0.30805330585668167</v>
      </c>
      <c r="AS537" s="323">
        <v>0.14649514484185033</v>
      </c>
      <c r="AT537" s="323">
        <v>0.1722538518467884</v>
      </c>
      <c r="AU537" s="190">
        <v>1539539482737797.5</v>
      </c>
      <c r="AV537" s="190">
        <v>1634149689657209.3</v>
      </c>
      <c r="AW537" s="190">
        <v>4807849106171304</v>
      </c>
      <c r="AX537" s="190">
        <v>6137040989365123</v>
      </c>
      <c r="AY537" s="203">
        <v>7.5</v>
      </c>
      <c r="AZ537" s="239">
        <v>178.4</v>
      </c>
      <c r="BA537" s="203">
        <v>1999</v>
      </c>
      <c r="BB537" s="204">
        <v>39296</v>
      </c>
      <c r="BC537" s="203" t="s">
        <v>3144</v>
      </c>
    </row>
    <row r="538" spans="1:55" x14ac:dyDescent="0.2">
      <c r="A538" s="184" t="s">
        <v>2156</v>
      </c>
      <c r="B538" s="184" t="s">
        <v>2155</v>
      </c>
      <c r="C538" s="184" t="s">
        <v>934</v>
      </c>
      <c r="D538" s="185" t="s">
        <v>1043</v>
      </c>
      <c r="E538" s="184" t="s">
        <v>2129</v>
      </c>
      <c r="F538" s="184" t="s">
        <v>2157</v>
      </c>
      <c r="G538" s="186">
        <f>IF(ALECA_Input!$F$13="ICAO (3000ft)",'Aircraft Calc'!C$211,'Aircraft Calc'!G$211)</f>
        <v>0.7</v>
      </c>
      <c r="H538" s="186">
        <f>IF(ALECA_Input!$F$13="ICAO (3000ft)",'Aircraft Calc'!D$211,'Aircraft Calc'!H$211)</f>
        <v>2.2000000000000002</v>
      </c>
      <c r="I538" s="186">
        <f>IF(ALECA_Input!$F$13="ICAO (3000ft)",'Aircraft Calc'!E$211,'Aircraft Calc'!I$211)</f>
        <v>4</v>
      </c>
      <c r="J538" s="189">
        <v>1</v>
      </c>
      <c r="K538" s="187">
        <f t="shared" si="121"/>
        <v>435.42</v>
      </c>
      <c r="L538" s="187">
        <f t="shared" si="122"/>
        <v>7.5698712000000006</v>
      </c>
      <c r="M538" s="187">
        <f t="shared" si="123"/>
        <v>1.2685800000000001E-2</v>
      </c>
      <c r="N538" s="187">
        <f t="shared" si="124"/>
        <v>0.40573500000000007</v>
      </c>
      <c r="O538" s="187">
        <f t="shared" si="125"/>
        <v>0.1122768768812473</v>
      </c>
      <c r="P538" s="188">
        <f t="shared" si="126"/>
        <v>1.1222443694608289E+18</v>
      </c>
      <c r="Q538" s="187">
        <f t="shared" si="127"/>
        <v>11400</v>
      </c>
      <c r="R538" s="219">
        <f t="shared" si="128"/>
        <v>52.212000000000003</v>
      </c>
      <c r="S538" s="219">
        <f t="shared" si="129"/>
        <v>1.5960000000000003</v>
      </c>
      <c r="T538" s="219">
        <f t="shared" si="130"/>
        <v>207.93599999999998</v>
      </c>
      <c r="U538" s="219">
        <f t="shared" si="131"/>
        <v>1.9545499710533878</v>
      </c>
      <c r="V538" s="188">
        <f t="shared" si="132"/>
        <v>6.9962267278762408E+16</v>
      </c>
      <c r="W538" s="323">
        <v>2.0699999999999998</v>
      </c>
      <c r="X538" s="323">
        <v>1.64</v>
      </c>
      <c r="Y538" s="323">
        <v>0.55000000000000004</v>
      </c>
      <c r="Z538" s="323">
        <v>0.19</v>
      </c>
      <c r="AA538" s="323">
        <v>25.88</v>
      </c>
      <c r="AB538" s="323">
        <v>19.3</v>
      </c>
      <c r="AC538" s="323">
        <v>8.65</v>
      </c>
      <c r="AD538" s="323">
        <v>4.58</v>
      </c>
      <c r="AE538" s="323">
        <v>7.0000000000000007E-2</v>
      </c>
      <c r="AF538" s="323">
        <v>0</v>
      </c>
      <c r="AG538" s="323">
        <v>0.05</v>
      </c>
      <c r="AH538" s="323">
        <v>0.14000000000000001</v>
      </c>
      <c r="AI538" s="323">
        <v>0.33</v>
      </c>
      <c r="AJ538" s="323">
        <v>0.26</v>
      </c>
      <c r="AK538" s="323">
        <v>2.4300000000000002</v>
      </c>
      <c r="AL538" s="323">
        <v>18.239999999999998</v>
      </c>
      <c r="AM538" s="323">
        <v>0.24409292282342537</v>
      </c>
      <c r="AN538" s="323">
        <v>0.25909330585668167</v>
      </c>
      <c r="AO538" s="323">
        <v>9.5285144841850314E-2</v>
      </c>
      <c r="AP538" s="323">
        <v>0.12162795184678842</v>
      </c>
      <c r="AQ538" s="323">
        <v>0.30110292282342538</v>
      </c>
      <c r="AR538" s="323">
        <v>0.30805330585668167</v>
      </c>
      <c r="AS538" s="323">
        <v>0.1470576448418503</v>
      </c>
      <c r="AT538" s="323">
        <v>0.1714517518467884</v>
      </c>
      <c r="AU538" s="190">
        <v>1539539482737797.5</v>
      </c>
      <c r="AV538" s="190">
        <v>1634149689657209.3</v>
      </c>
      <c r="AW538" s="190">
        <v>4807849106171304</v>
      </c>
      <c r="AX538" s="190">
        <v>6137040989365123</v>
      </c>
      <c r="AY538" s="203">
        <v>8.9</v>
      </c>
      <c r="AZ538" s="239">
        <v>191.7</v>
      </c>
      <c r="BA538" s="203">
        <v>1999</v>
      </c>
      <c r="BB538" s="204">
        <v>39296</v>
      </c>
      <c r="BC538" s="203" t="s">
        <v>3144</v>
      </c>
    </row>
    <row r="539" spans="1:55" x14ac:dyDescent="0.2">
      <c r="A539" s="184" t="s">
        <v>2159</v>
      </c>
      <c r="B539" s="184" t="s">
        <v>2158</v>
      </c>
      <c r="C539" s="184" t="s">
        <v>934</v>
      </c>
      <c r="D539" s="185" t="s">
        <v>1043</v>
      </c>
      <c r="E539" s="184" t="s">
        <v>2160</v>
      </c>
      <c r="F539" s="184" t="s">
        <v>2161</v>
      </c>
      <c r="G539" s="186">
        <f>IF(ALECA_Input!$F$13="ICAO (3000ft)",'Aircraft Calc'!C$211,'Aircraft Calc'!G$211)</f>
        <v>0.7</v>
      </c>
      <c r="H539" s="186">
        <f>IF(ALECA_Input!$F$13="ICAO (3000ft)",'Aircraft Calc'!D$211,'Aircraft Calc'!H$211)</f>
        <v>2.2000000000000002</v>
      </c>
      <c r="I539" s="186">
        <f>IF(ALECA_Input!$F$13="ICAO (3000ft)",'Aircraft Calc'!E$211,'Aircraft Calc'!I$211)</f>
        <v>4</v>
      </c>
      <c r="J539" s="189">
        <v>1</v>
      </c>
      <c r="K539" s="187">
        <f t="shared" si="121"/>
        <v>199.97400000000002</v>
      </c>
      <c r="L539" s="187">
        <f t="shared" si="122"/>
        <v>2.9877570000000002</v>
      </c>
      <c r="M539" s="187">
        <f t="shared" si="123"/>
        <v>2.6877419999999999E-2</v>
      </c>
      <c r="N539" s="187">
        <f t="shared" si="124"/>
        <v>0.24167279999999999</v>
      </c>
      <c r="O539" s="187">
        <f t="shared" si="125"/>
        <v>5.1658563457758433E-2</v>
      </c>
      <c r="P539" s="188">
        <f t="shared" si="126"/>
        <v>6.5264728873229261E+17</v>
      </c>
      <c r="Q539" s="187">
        <f t="shared" si="127"/>
        <v>7620</v>
      </c>
      <c r="R539" s="219">
        <f t="shared" si="128"/>
        <v>27.432000000000002</v>
      </c>
      <c r="S539" s="219">
        <f t="shared" si="129"/>
        <v>28.117799999999999</v>
      </c>
      <c r="T539" s="219">
        <f t="shared" si="130"/>
        <v>242.0874</v>
      </c>
      <c r="U539" s="219">
        <f t="shared" si="131"/>
        <v>1.868574556509963</v>
      </c>
      <c r="V539" s="188">
        <f t="shared" si="132"/>
        <v>6.6705432139595648E+16</v>
      </c>
      <c r="W539" s="323">
        <v>0.89100000000000001</v>
      </c>
      <c r="X539" s="323">
        <v>0.72599999999999998</v>
      </c>
      <c r="Y539" s="323">
        <v>0.27800000000000002</v>
      </c>
      <c r="Z539" s="323">
        <v>0.127</v>
      </c>
      <c r="AA539" s="323">
        <v>22.7</v>
      </c>
      <c r="AB539" s="323">
        <v>17.3</v>
      </c>
      <c r="AC539" s="323">
        <v>7.2</v>
      </c>
      <c r="AD539" s="323">
        <v>3.6</v>
      </c>
      <c r="AE539" s="323">
        <v>0.09</v>
      </c>
      <c r="AF539" s="323">
        <v>0.12</v>
      </c>
      <c r="AG539" s="323">
        <v>0.18</v>
      </c>
      <c r="AH539" s="323">
        <v>3.69</v>
      </c>
      <c r="AI539" s="323">
        <v>0.12</v>
      </c>
      <c r="AJ539" s="323">
        <v>0.63</v>
      </c>
      <c r="AK539" s="323">
        <v>2.65</v>
      </c>
      <c r="AL539" s="323">
        <v>31.77</v>
      </c>
      <c r="AM539" s="323">
        <v>0.23856435037077067</v>
      </c>
      <c r="AN539" s="323">
        <v>0.22879065721160446</v>
      </c>
      <c r="AO539" s="323">
        <v>0.13606069388910327</v>
      </c>
      <c r="AP539" s="323">
        <v>0.17349245807217359</v>
      </c>
      <c r="AQ539" s="323">
        <v>0.2978743503707707</v>
      </c>
      <c r="AR539" s="323">
        <v>0.28687065721160443</v>
      </c>
      <c r="AS539" s="323">
        <v>0.19514569388910327</v>
      </c>
      <c r="AT539" s="323">
        <v>0.24521975807217361</v>
      </c>
      <c r="AU539" s="190">
        <v>1504669747574703.5</v>
      </c>
      <c r="AV539" s="190">
        <v>1443025246223938.8</v>
      </c>
      <c r="AW539" s="190">
        <v>6865280905911564</v>
      </c>
      <c r="AX539" s="190">
        <v>8753993719107040</v>
      </c>
      <c r="AY539" s="203">
        <v>3.7</v>
      </c>
      <c r="AZ539" s="239">
        <v>50.7</v>
      </c>
      <c r="BA539" s="203">
        <v>1985</v>
      </c>
      <c r="BB539" s="204">
        <v>35684</v>
      </c>
      <c r="BC539" s="203" t="s">
        <v>3145</v>
      </c>
    </row>
    <row r="540" spans="1:55" x14ac:dyDescent="0.2">
      <c r="A540" s="184" t="s">
        <v>2159</v>
      </c>
      <c r="B540" s="184" t="s">
        <v>2162</v>
      </c>
      <c r="C540" s="184" t="s">
        <v>934</v>
      </c>
      <c r="D540" s="185" t="s">
        <v>1043</v>
      </c>
      <c r="E540" s="184" t="s">
        <v>2163</v>
      </c>
      <c r="F540" s="184" t="s">
        <v>2164</v>
      </c>
      <c r="G540" s="186">
        <f>IF(ALECA_Input!$F$13="ICAO (3000ft)",'Aircraft Calc'!C$211,'Aircraft Calc'!G$211)</f>
        <v>0.7</v>
      </c>
      <c r="H540" s="186">
        <f>IF(ALECA_Input!$F$13="ICAO (3000ft)",'Aircraft Calc'!D$211,'Aircraft Calc'!H$211)</f>
        <v>2.2000000000000002</v>
      </c>
      <c r="I540" s="186">
        <f>IF(ALECA_Input!$F$13="ICAO (3000ft)",'Aircraft Calc'!E$211,'Aircraft Calc'!I$211)</f>
        <v>4</v>
      </c>
      <c r="J540" s="189">
        <v>1</v>
      </c>
      <c r="K540" s="187">
        <f t="shared" si="121"/>
        <v>199.97400000000002</v>
      </c>
      <c r="L540" s="187">
        <f t="shared" si="122"/>
        <v>2.9877570000000002</v>
      </c>
      <c r="M540" s="187">
        <f t="shared" si="123"/>
        <v>2.6877419999999999E-2</v>
      </c>
      <c r="N540" s="187">
        <f t="shared" si="124"/>
        <v>0.24167279999999999</v>
      </c>
      <c r="O540" s="187">
        <f t="shared" si="125"/>
        <v>5.1658563457758433E-2</v>
      </c>
      <c r="P540" s="188">
        <f t="shared" si="126"/>
        <v>6.5264728873229261E+17</v>
      </c>
      <c r="Q540" s="187">
        <f t="shared" si="127"/>
        <v>7620</v>
      </c>
      <c r="R540" s="219">
        <f t="shared" si="128"/>
        <v>27.432000000000002</v>
      </c>
      <c r="S540" s="219">
        <f t="shared" si="129"/>
        <v>28.117799999999999</v>
      </c>
      <c r="T540" s="219">
        <f t="shared" si="130"/>
        <v>242.0874</v>
      </c>
      <c r="U540" s="219">
        <f t="shared" si="131"/>
        <v>1.868574556509963</v>
      </c>
      <c r="V540" s="188">
        <f t="shared" si="132"/>
        <v>6.6705432139595648E+16</v>
      </c>
      <c r="W540" s="323">
        <v>0.89100000000000001</v>
      </c>
      <c r="X540" s="323">
        <v>0.72599999999999998</v>
      </c>
      <c r="Y540" s="323">
        <v>0.27800000000000002</v>
      </c>
      <c r="Z540" s="323">
        <v>0.127</v>
      </c>
      <c r="AA540" s="323">
        <v>22.7</v>
      </c>
      <c r="AB540" s="323">
        <v>17.3</v>
      </c>
      <c r="AC540" s="323">
        <v>7.2</v>
      </c>
      <c r="AD540" s="323">
        <v>3.6</v>
      </c>
      <c r="AE540" s="323">
        <v>0.09</v>
      </c>
      <c r="AF540" s="323">
        <v>0.12</v>
      </c>
      <c r="AG540" s="323">
        <v>0.18</v>
      </c>
      <c r="AH540" s="323">
        <v>3.69</v>
      </c>
      <c r="AI540" s="323">
        <v>0.12</v>
      </c>
      <c r="AJ540" s="323">
        <v>0.63</v>
      </c>
      <c r="AK540" s="323">
        <v>2.65</v>
      </c>
      <c r="AL540" s="323">
        <v>31.77</v>
      </c>
      <c r="AM540" s="323">
        <v>0.23856435037077067</v>
      </c>
      <c r="AN540" s="323">
        <v>0.22879065721160446</v>
      </c>
      <c r="AO540" s="323">
        <v>0.13606069388910327</v>
      </c>
      <c r="AP540" s="323">
        <v>0.17349245807217359</v>
      </c>
      <c r="AQ540" s="323">
        <v>0.2978743503707707</v>
      </c>
      <c r="AR540" s="323">
        <v>0.28687065721160443</v>
      </c>
      <c r="AS540" s="323">
        <v>0.19514569388910327</v>
      </c>
      <c r="AT540" s="323">
        <v>0.24521975807217361</v>
      </c>
      <c r="AU540" s="190">
        <v>1504669747574703.5</v>
      </c>
      <c r="AV540" s="190">
        <v>1443025246223938.8</v>
      </c>
      <c r="AW540" s="190">
        <v>6865280905911564</v>
      </c>
      <c r="AX540" s="190">
        <v>8753993719107040</v>
      </c>
      <c r="AY540" s="203">
        <v>3.7</v>
      </c>
      <c r="AZ540" s="239">
        <v>50.7</v>
      </c>
      <c r="BA540" s="203">
        <v>1985</v>
      </c>
      <c r="BB540" s="204">
        <v>35684</v>
      </c>
      <c r="BC540" s="203" t="s">
        <v>3145</v>
      </c>
    </row>
    <row r="541" spans="1:55" x14ac:dyDescent="0.2">
      <c r="A541" s="184" t="s">
        <v>2166</v>
      </c>
      <c r="B541" s="184" t="s">
        <v>2165</v>
      </c>
      <c r="C541" s="184" t="s">
        <v>934</v>
      </c>
      <c r="D541" s="185" t="s">
        <v>1043</v>
      </c>
      <c r="E541" s="184" t="s">
        <v>2167</v>
      </c>
      <c r="F541" s="184" t="s">
        <v>2168</v>
      </c>
      <c r="G541" s="186">
        <f>IF(ALECA_Input!$F$13="ICAO (3000ft)",'Aircraft Calc'!C$211,'Aircraft Calc'!G$211)</f>
        <v>0.7</v>
      </c>
      <c r="H541" s="186">
        <f>IF(ALECA_Input!$F$13="ICAO (3000ft)",'Aircraft Calc'!D$211,'Aircraft Calc'!H$211)</f>
        <v>2.2000000000000002</v>
      </c>
      <c r="I541" s="186">
        <f>IF(ALECA_Input!$F$13="ICAO (3000ft)",'Aircraft Calc'!E$211,'Aircraft Calc'!I$211)</f>
        <v>4</v>
      </c>
      <c r="J541" s="189">
        <v>1</v>
      </c>
      <c r="K541" s="187">
        <f t="shared" si="121"/>
        <v>162.054</v>
      </c>
      <c r="L541" s="187">
        <f t="shared" si="122"/>
        <v>2.326101</v>
      </c>
      <c r="M541" s="187">
        <f t="shared" si="123"/>
        <v>3.6055499999999997E-2</v>
      </c>
      <c r="N541" s="187">
        <f t="shared" si="124"/>
        <v>0.26020980000000005</v>
      </c>
      <c r="O541" s="187">
        <f t="shared" si="125"/>
        <v>6.085129577323161E-2</v>
      </c>
      <c r="P541" s="188">
        <f t="shared" si="126"/>
        <v>7.4550710150495347E+17</v>
      </c>
      <c r="Q541" s="187">
        <f t="shared" si="127"/>
        <v>5760</v>
      </c>
      <c r="R541" s="219">
        <f t="shared" si="128"/>
        <v>21.312000000000001</v>
      </c>
      <c r="S541" s="219">
        <f t="shared" si="129"/>
        <v>10.7136</v>
      </c>
      <c r="T541" s="219">
        <f t="shared" si="130"/>
        <v>168.768</v>
      </c>
      <c r="U541" s="219">
        <f t="shared" si="131"/>
        <v>1.6950084649944117</v>
      </c>
      <c r="V541" s="188">
        <f t="shared" si="132"/>
        <v>6.7960987145036464E+16</v>
      </c>
      <c r="W541" s="323">
        <v>0.73499999999999999</v>
      </c>
      <c r="X541" s="323">
        <v>0.59199999999999997</v>
      </c>
      <c r="Y541" s="323">
        <v>0.221</v>
      </c>
      <c r="Z541" s="323">
        <v>9.6000000000000002E-2</v>
      </c>
      <c r="AA541" s="323">
        <v>21.900000000000002</v>
      </c>
      <c r="AB541" s="323">
        <v>16.5</v>
      </c>
      <c r="AC541" s="323">
        <v>6.8</v>
      </c>
      <c r="AD541" s="323">
        <v>3.7</v>
      </c>
      <c r="AE541" s="323">
        <v>0.28999999999999998</v>
      </c>
      <c r="AF541" s="323">
        <v>0.15</v>
      </c>
      <c r="AG541" s="323">
        <v>0.28999999999999998</v>
      </c>
      <c r="AH541" s="323">
        <v>1.86</v>
      </c>
      <c r="AI541" s="323">
        <v>0.3</v>
      </c>
      <c r="AJ541" s="323">
        <v>0.70000000000000007</v>
      </c>
      <c r="AK541" s="323">
        <v>3.7</v>
      </c>
      <c r="AL541" s="323">
        <v>29.3</v>
      </c>
      <c r="AM541" s="323">
        <v>0.38999616316790919</v>
      </c>
      <c r="AN541" s="323">
        <v>0.36302682806512315</v>
      </c>
      <c r="AO541" s="323">
        <v>0.18333353740417171</v>
      </c>
      <c r="AP541" s="323">
        <v>0.23383610295041865</v>
      </c>
      <c r="AQ541" s="323">
        <v>0.47230616316790919</v>
      </c>
      <c r="AR541" s="323">
        <v>0.42338682806512318</v>
      </c>
      <c r="AS541" s="323">
        <v>0.2486060374041717</v>
      </c>
      <c r="AT541" s="323">
        <v>0.29427230295041873</v>
      </c>
      <c r="AU541" s="190">
        <v>2459778367878298</v>
      </c>
      <c r="AV541" s="190">
        <v>2289677753187551.5</v>
      </c>
      <c r="AW541" s="190">
        <v>9250549866958190</v>
      </c>
      <c r="AX541" s="190">
        <v>1.179878249045772E+16</v>
      </c>
      <c r="AY541" s="203">
        <v>2.9</v>
      </c>
      <c r="AZ541" s="239">
        <v>44</v>
      </c>
      <c r="BA541" s="203">
        <v>1984</v>
      </c>
      <c r="BB541" s="204">
        <v>39296</v>
      </c>
      <c r="BC541" s="203" t="s">
        <v>3146</v>
      </c>
    </row>
    <row r="542" spans="1:55" x14ac:dyDescent="0.2">
      <c r="A542" s="184" t="s">
        <v>682</v>
      </c>
      <c r="B542" s="184" t="s">
        <v>2169</v>
      </c>
      <c r="C542" s="184" t="s">
        <v>934</v>
      </c>
      <c r="D542" s="185" t="s">
        <v>1043</v>
      </c>
      <c r="E542" s="184" t="s">
        <v>2170</v>
      </c>
      <c r="F542" s="184" t="s">
        <v>2170</v>
      </c>
      <c r="G542" s="186">
        <f>IF(ALECA_Input!$F$13="ICAO (3000ft)",'Aircraft Calc'!C$211,'Aircraft Calc'!G$211)</f>
        <v>0.7</v>
      </c>
      <c r="H542" s="186">
        <f>IF(ALECA_Input!$F$13="ICAO (3000ft)",'Aircraft Calc'!D$211,'Aircraft Calc'!H$211)</f>
        <v>2.2000000000000002</v>
      </c>
      <c r="I542" s="186">
        <f>IF(ALECA_Input!$F$13="ICAO (3000ft)",'Aircraft Calc'!E$211,'Aircraft Calc'!I$211)</f>
        <v>4</v>
      </c>
      <c r="J542" s="189">
        <v>1</v>
      </c>
      <c r="K542" s="187">
        <f t="shared" si="121"/>
        <v>162.18599999999998</v>
      </c>
      <c r="L542" s="187">
        <f t="shared" si="122"/>
        <v>1.82511366</v>
      </c>
      <c r="M542" s="187">
        <f t="shared" si="123"/>
        <v>3.9354419999999994E-2</v>
      </c>
      <c r="N542" s="187">
        <f t="shared" si="124"/>
        <v>0.51692507999999993</v>
      </c>
      <c r="O542" s="187">
        <f t="shared" si="125"/>
        <v>6.8251229135096958E-2</v>
      </c>
      <c r="P542" s="188">
        <f t="shared" si="126"/>
        <v>8.1470258967654976E+17</v>
      </c>
      <c r="Q542" s="187">
        <f t="shared" si="127"/>
        <v>5784</v>
      </c>
      <c r="R542" s="219">
        <f t="shared" si="128"/>
        <v>12.89832</v>
      </c>
      <c r="S542" s="219">
        <f t="shared" si="129"/>
        <v>19.72344</v>
      </c>
      <c r="T542" s="219">
        <f t="shared" si="130"/>
        <v>180.22943999999998</v>
      </c>
      <c r="U542" s="219">
        <f t="shared" si="131"/>
        <v>1.8292695850894667</v>
      </c>
      <c r="V542" s="188">
        <f t="shared" si="132"/>
        <v>7.1871208754085296E+16</v>
      </c>
      <c r="W542" s="323">
        <v>0.73499999999999999</v>
      </c>
      <c r="X542" s="323">
        <v>0.59299999999999997</v>
      </c>
      <c r="Y542" s="323">
        <v>0.221</v>
      </c>
      <c r="Z542" s="323">
        <v>9.64E-2</v>
      </c>
      <c r="AA542" s="323">
        <v>17.330000000000002</v>
      </c>
      <c r="AB542" s="323">
        <v>13.06</v>
      </c>
      <c r="AC542" s="323">
        <v>5.05</v>
      </c>
      <c r="AD542" s="323">
        <v>2.23</v>
      </c>
      <c r="AE542" s="323">
        <v>0.15</v>
      </c>
      <c r="AF542" s="323">
        <v>0.22</v>
      </c>
      <c r="AG542" s="323">
        <v>0.33</v>
      </c>
      <c r="AH542" s="323">
        <v>3.41</v>
      </c>
      <c r="AI542" s="323">
        <v>1.54</v>
      </c>
      <c r="AJ542" s="323">
        <v>2.08</v>
      </c>
      <c r="AK542" s="323">
        <v>5.78</v>
      </c>
      <c r="AL542" s="323">
        <v>31.16</v>
      </c>
      <c r="AM542" s="323">
        <v>0.46089366733440074</v>
      </c>
      <c r="AN542" s="323">
        <v>0.42179153025526456</v>
      </c>
      <c r="AO542" s="323">
        <v>0.19307737598459504</v>
      </c>
      <c r="AP542" s="323">
        <v>0.24626405952445832</v>
      </c>
      <c r="AQ542" s="323">
        <v>0.52710366733440073</v>
      </c>
      <c r="AR542" s="323">
        <v>0.48747153025526457</v>
      </c>
      <c r="AS542" s="323">
        <v>0.260599875984595</v>
      </c>
      <c r="AT542" s="323">
        <v>0.31626375952445829</v>
      </c>
      <c r="AU542" s="190">
        <v>2906942118589903.5</v>
      </c>
      <c r="AV542" s="190">
        <v>2660317664277873</v>
      </c>
      <c r="AW542" s="190">
        <v>9742199490698806</v>
      </c>
      <c r="AX542" s="190">
        <v>1.2425865967165508E+16</v>
      </c>
      <c r="AY542" s="203">
        <v>2.2000000000000002</v>
      </c>
      <c r="AZ542" s="239">
        <v>44</v>
      </c>
      <c r="BA542" s="203">
        <v>1987</v>
      </c>
      <c r="BB542" s="204">
        <v>39296</v>
      </c>
      <c r="BC542" s="203" t="s">
        <v>3147</v>
      </c>
    </row>
    <row r="543" spans="1:55" x14ac:dyDescent="0.2">
      <c r="A543" s="184" t="s">
        <v>2172</v>
      </c>
      <c r="B543" s="184" t="s">
        <v>2171</v>
      </c>
      <c r="C543" s="184" t="s">
        <v>934</v>
      </c>
      <c r="D543" s="185" t="s">
        <v>1043</v>
      </c>
      <c r="E543" s="184" t="s">
        <v>2173</v>
      </c>
      <c r="F543" s="184" t="s">
        <v>2173</v>
      </c>
      <c r="G543" s="186">
        <f>IF(ALECA_Input!$F$13="ICAO (3000ft)",'Aircraft Calc'!C$211,'Aircraft Calc'!G$211)</f>
        <v>0.7</v>
      </c>
      <c r="H543" s="186">
        <f>IF(ALECA_Input!$F$13="ICAO (3000ft)",'Aircraft Calc'!D$211,'Aircraft Calc'!H$211)</f>
        <v>2.2000000000000002</v>
      </c>
      <c r="I543" s="186">
        <f>IF(ALECA_Input!$F$13="ICAO (3000ft)",'Aircraft Calc'!E$211,'Aircraft Calc'!I$211)</f>
        <v>4</v>
      </c>
      <c r="J543" s="189">
        <v>1</v>
      </c>
      <c r="K543" s="187">
        <f t="shared" si="121"/>
        <v>200.13000000000002</v>
      </c>
      <c r="L543" s="187">
        <f t="shared" si="122"/>
        <v>3.2385754200000001</v>
      </c>
      <c r="M543" s="187">
        <f t="shared" si="123"/>
        <v>0.64721028000000014</v>
      </c>
      <c r="N543" s="187">
        <f t="shared" si="124"/>
        <v>1.6242837000000003</v>
      </c>
      <c r="O543" s="187">
        <f t="shared" si="125"/>
        <v>0.7958534160897146</v>
      </c>
      <c r="P543" s="188">
        <f t="shared" si="126"/>
        <v>5.8071471266437478E+18</v>
      </c>
      <c r="Q543" s="187">
        <f t="shared" si="127"/>
        <v>7140.0000000000009</v>
      </c>
      <c r="R543" s="219">
        <f t="shared" si="128"/>
        <v>10.567200000000001</v>
      </c>
      <c r="S543" s="219">
        <f t="shared" si="129"/>
        <v>405.05220000000008</v>
      </c>
      <c r="T543" s="219">
        <f t="shared" si="130"/>
        <v>699.4344000000001</v>
      </c>
      <c r="U543" s="219">
        <f t="shared" si="131"/>
        <v>6.2618411551294653</v>
      </c>
      <c r="V543" s="188">
        <f t="shared" si="132"/>
        <v>1.7221618584074432E+17</v>
      </c>
      <c r="W543" s="323">
        <v>0.88900000000000001</v>
      </c>
      <c r="X543" s="323">
        <v>0.72599999999999998</v>
      </c>
      <c r="Y543" s="323">
        <v>0.27900000000000003</v>
      </c>
      <c r="Z543" s="323">
        <v>0.11900000000000001</v>
      </c>
      <c r="AA543" s="323">
        <v>23.27</v>
      </c>
      <c r="AB543" s="323">
        <v>19.18</v>
      </c>
      <c r="AC543" s="323">
        <v>7.94</v>
      </c>
      <c r="AD543" s="323">
        <v>1.48</v>
      </c>
      <c r="AE543" s="323">
        <v>0.98</v>
      </c>
      <c r="AF543" s="323">
        <v>1.32</v>
      </c>
      <c r="AG543" s="323">
        <v>7.23</v>
      </c>
      <c r="AH543" s="323">
        <v>56.730000000000004</v>
      </c>
      <c r="AI543" s="323">
        <v>1.81</v>
      </c>
      <c r="AJ543" s="323">
        <v>2.06</v>
      </c>
      <c r="AK543" s="323">
        <v>20.3</v>
      </c>
      <c r="AL543" s="323">
        <v>97.960000000000008</v>
      </c>
      <c r="AM543" s="323">
        <v>7.0120997907605522</v>
      </c>
      <c r="AN543" s="323">
        <v>4.7800429549992147</v>
      </c>
      <c r="AO543" s="323">
        <v>0.37488857525108044</v>
      </c>
      <c r="AP543" s="323">
        <v>0.47802446514418273</v>
      </c>
      <c r="AQ543" s="323">
        <v>7.1737597907605526</v>
      </c>
      <c r="AR543" s="323">
        <v>4.9293229549992148</v>
      </c>
      <c r="AS543" s="323">
        <v>0.83053607525108042</v>
      </c>
      <c r="AT543" s="323">
        <v>0.87700856514418268</v>
      </c>
      <c r="AU543" s="190">
        <v>4.4226618125190864E+16</v>
      </c>
      <c r="AV543" s="190">
        <v>3.0148620342128584E+16</v>
      </c>
      <c r="AW543" s="190">
        <v>1.8915935998484236E+16</v>
      </c>
      <c r="AX543" s="190">
        <v>2.411991398329752E+16</v>
      </c>
      <c r="AY543" s="203">
        <v>14.1</v>
      </c>
      <c r="AZ543" s="239">
        <v>50.7</v>
      </c>
      <c r="BA543" s="203">
        <v>1970</v>
      </c>
      <c r="BB543" s="204">
        <v>39296</v>
      </c>
      <c r="BC543" s="203" t="s">
        <v>3148</v>
      </c>
    </row>
    <row r="544" spans="1:55" x14ac:dyDescent="0.2">
      <c r="A544" s="184" t="s">
        <v>2175</v>
      </c>
      <c r="B544" s="184" t="s">
        <v>2174</v>
      </c>
      <c r="C544" s="184" t="s">
        <v>934</v>
      </c>
      <c r="D544" s="185" t="s">
        <v>1043</v>
      </c>
      <c r="E544" s="184" t="s">
        <v>2176</v>
      </c>
      <c r="F544" s="184" t="s">
        <v>2176</v>
      </c>
      <c r="G544" s="186">
        <f>IF(ALECA_Input!$F$13="ICAO (3000ft)",'Aircraft Calc'!C$211,'Aircraft Calc'!G$211)</f>
        <v>0.7</v>
      </c>
      <c r="H544" s="186">
        <f>IF(ALECA_Input!$F$13="ICAO (3000ft)",'Aircraft Calc'!D$211,'Aircraft Calc'!H$211)</f>
        <v>2.2000000000000002</v>
      </c>
      <c r="I544" s="186">
        <f>IF(ALECA_Input!$F$13="ICAO (3000ft)",'Aircraft Calc'!E$211,'Aircraft Calc'!I$211)</f>
        <v>4</v>
      </c>
      <c r="J544" s="189">
        <v>1</v>
      </c>
      <c r="K544" s="187">
        <f t="shared" si="121"/>
        <v>161.268</v>
      </c>
      <c r="L544" s="187">
        <f t="shared" si="122"/>
        <v>2.0257891200000002</v>
      </c>
      <c r="M544" s="187">
        <f t="shared" si="123"/>
        <v>0.52236959999999999</v>
      </c>
      <c r="N544" s="187">
        <f t="shared" si="124"/>
        <v>1.1971871999999999</v>
      </c>
      <c r="O544" s="187">
        <f t="shared" si="125"/>
        <v>0.77586885440576037</v>
      </c>
      <c r="P544" s="188">
        <f t="shared" si="126"/>
        <v>5.707112061663871E+18</v>
      </c>
      <c r="Q544" s="187">
        <f t="shared" si="127"/>
        <v>6900</v>
      </c>
      <c r="R544" s="219">
        <f t="shared" si="128"/>
        <v>12.627000000000001</v>
      </c>
      <c r="S544" s="219">
        <f t="shared" si="129"/>
        <v>639.90599999999995</v>
      </c>
      <c r="T544" s="219">
        <f t="shared" si="130"/>
        <v>608.78700000000003</v>
      </c>
      <c r="U544" s="219">
        <f t="shared" si="131"/>
        <v>8.3043516511389068</v>
      </c>
      <c r="V544" s="188">
        <f t="shared" si="132"/>
        <v>2.0275371134459584E+17</v>
      </c>
      <c r="W544" s="323">
        <v>0.72</v>
      </c>
      <c r="X544" s="323">
        <v>0.58899999999999997</v>
      </c>
      <c r="Y544" s="323">
        <v>0.222</v>
      </c>
      <c r="Z544" s="323">
        <v>0.115</v>
      </c>
      <c r="AA544" s="323">
        <v>18.920000000000002</v>
      </c>
      <c r="AB544" s="323">
        <v>14.64</v>
      </c>
      <c r="AC544" s="323">
        <v>5.92</v>
      </c>
      <c r="AD544" s="323">
        <v>1.83</v>
      </c>
      <c r="AE544" s="323">
        <v>0.88</v>
      </c>
      <c r="AF544" s="323">
        <v>1.6</v>
      </c>
      <c r="AG544" s="323">
        <v>6.97</v>
      </c>
      <c r="AH544" s="323">
        <v>92.74</v>
      </c>
      <c r="AI544" s="323">
        <v>0.44</v>
      </c>
      <c r="AJ544" s="323">
        <v>0</v>
      </c>
      <c r="AK544" s="323">
        <v>22.22</v>
      </c>
      <c r="AL544" s="323">
        <v>88.23</v>
      </c>
      <c r="AM544" s="323">
        <v>8.5309986237155382</v>
      </c>
      <c r="AN544" s="323">
        <v>5.8170658281197518</v>
      </c>
      <c r="AO544" s="323">
        <v>0.45658794932334695</v>
      </c>
      <c r="AP544" s="323">
        <v>0.58236342480274006</v>
      </c>
      <c r="AQ544" s="323">
        <v>8.6811586237155378</v>
      </c>
      <c r="AR544" s="323">
        <v>5.9876258281197519</v>
      </c>
      <c r="AS544" s="323">
        <v>0.89761044932334699</v>
      </c>
      <c r="AT544" s="323">
        <v>1.20352922480274</v>
      </c>
      <c r="AU544" s="190">
        <v>5.3806595686892408E+16</v>
      </c>
      <c r="AV544" s="190">
        <v>3.668931656225692E+16</v>
      </c>
      <c r="AW544" s="190">
        <v>2.3038281231416916E+16</v>
      </c>
      <c r="AX544" s="190">
        <v>2.9384595847042872E+16</v>
      </c>
      <c r="AY544" s="203">
        <v>9.4</v>
      </c>
      <c r="AZ544" s="239">
        <v>43.800000000000004</v>
      </c>
      <c r="BA544" s="203">
        <v>1973</v>
      </c>
      <c r="BB544" s="204">
        <v>37448</v>
      </c>
      <c r="BC544" s="203" t="s">
        <v>3102</v>
      </c>
    </row>
    <row r="545" spans="1:55" x14ac:dyDescent="0.2">
      <c r="A545" s="184" t="s">
        <v>2178</v>
      </c>
      <c r="B545" s="184" t="s">
        <v>2177</v>
      </c>
      <c r="C545" s="184" t="s">
        <v>934</v>
      </c>
      <c r="D545" s="185" t="s">
        <v>1043</v>
      </c>
      <c r="E545" s="184" t="s">
        <v>2179</v>
      </c>
      <c r="F545" s="184" t="s">
        <v>2179</v>
      </c>
      <c r="G545" s="186">
        <f>IF(ALECA_Input!$F$13="ICAO (3000ft)",'Aircraft Calc'!C$211,'Aircraft Calc'!G$211)</f>
        <v>0.7</v>
      </c>
      <c r="H545" s="186">
        <f>IF(ALECA_Input!$F$13="ICAO (3000ft)",'Aircraft Calc'!D$211,'Aircraft Calc'!H$211)</f>
        <v>2.2000000000000002</v>
      </c>
      <c r="I545" s="186">
        <f>IF(ALECA_Input!$F$13="ICAO (3000ft)",'Aircraft Calc'!E$211,'Aircraft Calc'!I$211)</f>
        <v>4</v>
      </c>
      <c r="J545" s="189">
        <v>1</v>
      </c>
      <c r="K545" s="187">
        <f t="shared" si="121"/>
        <v>189.84</v>
      </c>
      <c r="L545" s="187">
        <f t="shared" si="122"/>
        <v>2.1225108000000001</v>
      </c>
      <c r="M545" s="187">
        <f t="shared" si="123"/>
        <v>3.11916E-2</v>
      </c>
      <c r="N545" s="187">
        <f t="shared" si="124"/>
        <v>0.17550839999999998</v>
      </c>
      <c r="O545" s="187">
        <f t="shared" si="125"/>
        <v>5.0966494498676893E-2</v>
      </c>
      <c r="P545" s="188">
        <f t="shared" si="126"/>
        <v>5.8825934127397965E+17</v>
      </c>
      <c r="Q545" s="187">
        <f t="shared" si="127"/>
        <v>7199.9999999999991</v>
      </c>
      <c r="R545" s="219">
        <f t="shared" si="128"/>
        <v>18</v>
      </c>
      <c r="S545" s="219">
        <f t="shared" si="129"/>
        <v>8.8559999999999999</v>
      </c>
      <c r="T545" s="219">
        <f t="shared" si="130"/>
        <v>160.99199999999999</v>
      </c>
      <c r="U545" s="219">
        <f t="shared" si="131"/>
        <v>1.5884403763545891</v>
      </c>
      <c r="V545" s="188">
        <f t="shared" si="132"/>
        <v>5.9604768045247728E+16</v>
      </c>
      <c r="W545" s="323">
        <v>0.86</v>
      </c>
      <c r="X545" s="323">
        <v>0.71</v>
      </c>
      <c r="Y545" s="323">
        <v>0.25</v>
      </c>
      <c r="Z545" s="323">
        <v>0.12</v>
      </c>
      <c r="AA545" s="323">
        <v>16.45</v>
      </c>
      <c r="AB545" s="323">
        <v>12.94</v>
      </c>
      <c r="AC545" s="323">
        <v>5.26</v>
      </c>
      <c r="AD545" s="323">
        <v>2.5</v>
      </c>
      <c r="AE545" s="323">
        <v>0.11</v>
      </c>
      <c r="AF545" s="323">
        <v>0.22</v>
      </c>
      <c r="AG545" s="323">
        <v>0.11</v>
      </c>
      <c r="AH545" s="323">
        <v>1.23</v>
      </c>
      <c r="AI545" s="323">
        <v>0.69000000000000006</v>
      </c>
      <c r="AJ545" s="323">
        <v>0.48</v>
      </c>
      <c r="AK545" s="323">
        <v>1.76</v>
      </c>
      <c r="AL545" s="323">
        <v>22.36</v>
      </c>
      <c r="AM545" s="323">
        <v>0.23442822568662705</v>
      </c>
      <c r="AN545" s="323">
        <v>0.24643794326844848</v>
      </c>
      <c r="AO545" s="323">
        <v>0.12855083572928236</v>
      </c>
      <c r="AP545" s="323">
        <v>0.1640676189381374</v>
      </c>
      <c r="AQ545" s="323">
        <v>0.29603822568662708</v>
      </c>
      <c r="AR545" s="323">
        <v>0.31211794326844844</v>
      </c>
      <c r="AS545" s="323">
        <v>0.18369833572928235</v>
      </c>
      <c r="AT545" s="323">
        <v>0.22061671893813739</v>
      </c>
      <c r="AU545" s="190">
        <v>1478582439581051</v>
      </c>
      <c r="AV545" s="190">
        <v>1554329963023668.3</v>
      </c>
      <c r="AW545" s="190">
        <v>6486352323695565</v>
      </c>
      <c r="AX545" s="190">
        <v>8278440006284408</v>
      </c>
      <c r="AY545" s="203">
        <v>2.6</v>
      </c>
      <c r="AZ545" s="239">
        <v>67.2</v>
      </c>
      <c r="BA545" s="203">
        <v>1997</v>
      </c>
      <c r="BB545" s="204">
        <v>39296</v>
      </c>
      <c r="BC545" s="203" t="s">
        <v>3149</v>
      </c>
    </row>
    <row r="546" spans="1:55" x14ac:dyDescent="0.2">
      <c r="A546" s="184" t="s">
        <v>2181</v>
      </c>
      <c r="B546" s="184" t="s">
        <v>2180</v>
      </c>
      <c r="C546" s="184" t="s">
        <v>934</v>
      </c>
      <c r="D546" s="185" t="s">
        <v>1043</v>
      </c>
      <c r="E546" s="184" t="s">
        <v>2182</v>
      </c>
      <c r="F546" s="184" t="s">
        <v>2183</v>
      </c>
      <c r="G546" s="186">
        <f>IF(ALECA_Input!$F$13="ICAO (3000ft)",'Aircraft Calc'!C$211,'Aircraft Calc'!G$211)</f>
        <v>0.7</v>
      </c>
      <c r="H546" s="186">
        <f>IF(ALECA_Input!$F$13="ICAO (3000ft)",'Aircraft Calc'!D$211,'Aircraft Calc'!H$211)</f>
        <v>2.2000000000000002</v>
      </c>
      <c r="I546" s="186">
        <f>IF(ALECA_Input!$F$13="ICAO (3000ft)",'Aircraft Calc'!E$211,'Aircraft Calc'!I$211)</f>
        <v>4</v>
      </c>
      <c r="J546" s="189">
        <v>1</v>
      </c>
      <c r="K546" s="187">
        <f t="shared" si="121"/>
        <v>193.98000000000002</v>
      </c>
      <c r="L546" s="187">
        <f t="shared" si="122"/>
        <v>2.2885511999999997</v>
      </c>
      <c r="M546" s="187">
        <f t="shared" si="123"/>
        <v>2.8834200000000001E-2</v>
      </c>
      <c r="N546" s="187">
        <f t="shared" si="124"/>
        <v>0.17821140000000002</v>
      </c>
      <c r="O546" s="187">
        <f t="shared" si="125"/>
        <v>5.1678069044329915E-2</v>
      </c>
      <c r="P546" s="188">
        <f t="shared" si="126"/>
        <v>6.0649930702666432E+17</v>
      </c>
      <c r="Q546" s="187">
        <f t="shared" si="127"/>
        <v>7199.9999999999991</v>
      </c>
      <c r="R546" s="219">
        <f t="shared" si="128"/>
        <v>18.143999999999998</v>
      </c>
      <c r="S546" s="219">
        <f t="shared" si="129"/>
        <v>9.5039999999999996</v>
      </c>
      <c r="T546" s="219">
        <f t="shared" si="130"/>
        <v>167.47200000000001</v>
      </c>
      <c r="U546" s="219">
        <f t="shared" si="131"/>
        <v>1.5924385363545892</v>
      </c>
      <c r="V546" s="188">
        <f t="shared" si="132"/>
        <v>5.9604768045247728E+16</v>
      </c>
      <c r="W546" s="323">
        <v>0.87</v>
      </c>
      <c r="X546" s="323">
        <v>0.72</v>
      </c>
      <c r="Y546" s="323">
        <v>0.26</v>
      </c>
      <c r="Z546" s="323">
        <v>0.12</v>
      </c>
      <c r="AA546" s="323">
        <v>17.559999999999999</v>
      </c>
      <c r="AB546" s="323">
        <v>13.77</v>
      </c>
      <c r="AC546" s="323">
        <v>5.42</v>
      </c>
      <c r="AD546" s="323">
        <v>2.52</v>
      </c>
      <c r="AE546" s="323">
        <v>0.09</v>
      </c>
      <c r="AF546" s="323">
        <v>0.19</v>
      </c>
      <c r="AG546" s="323">
        <v>0.12</v>
      </c>
      <c r="AH546" s="323">
        <v>1.32</v>
      </c>
      <c r="AI546" s="323">
        <v>0.75</v>
      </c>
      <c r="AJ546" s="323">
        <v>0.51</v>
      </c>
      <c r="AK546" s="323">
        <v>1.6400000000000001</v>
      </c>
      <c r="AL546" s="323">
        <v>23.26</v>
      </c>
      <c r="AM546" s="323">
        <v>0.23442822568662705</v>
      </c>
      <c r="AN546" s="323">
        <v>0.24643794326844848</v>
      </c>
      <c r="AO546" s="323">
        <v>0.12855083572928236</v>
      </c>
      <c r="AP546" s="323">
        <v>0.1640676189381374</v>
      </c>
      <c r="AQ546" s="323">
        <v>0.29373822568662705</v>
      </c>
      <c r="AR546" s="323">
        <v>0.30983794326844849</v>
      </c>
      <c r="AS546" s="323">
        <v>0.18426083572928237</v>
      </c>
      <c r="AT546" s="323">
        <v>0.2211720189381374</v>
      </c>
      <c r="AU546" s="190">
        <v>1478582439581051</v>
      </c>
      <c r="AV546" s="190">
        <v>1554329963023668.3</v>
      </c>
      <c r="AW546" s="190">
        <v>6486352323695565</v>
      </c>
      <c r="AX546" s="190">
        <v>8278440006284408</v>
      </c>
      <c r="AY546" s="203">
        <v>2.8</v>
      </c>
      <c r="AZ546" s="239">
        <v>68.5</v>
      </c>
      <c r="BA546" s="203">
        <v>1997</v>
      </c>
      <c r="BB546" s="204">
        <v>39296</v>
      </c>
      <c r="BC546" s="203" t="s">
        <v>3150</v>
      </c>
    </row>
    <row r="547" spans="1:55" x14ac:dyDescent="0.2">
      <c r="A547" s="184" t="s">
        <v>2185</v>
      </c>
      <c r="B547" s="184" t="s">
        <v>2184</v>
      </c>
      <c r="C547" s="184" t="s">
        <v>934</v>
      </c>
      <c r="D547" s="185" t="s">
        <v>1043</v>
      </c>
      <c r="E547" s="184" t="s">
        <v>2182</v>
      </c>
      <c r="F547" s="184" t="s">
        <v>2186</v>
      </c>
      <c r="G547" s="186">
        <f>IF(ALECA_Input!$F$13="ICAO (3000ft)",'Aircraft Calc'!C$211,'Aircraft Calc'!G$211)</f>
        <v>0.7</v>
      </c>
      <c r="H547" s="186">
        <f>IF(ALECA_Input!$F$13="ICAO (3000ft)",'Aircraft Calc'!D$211,'Aircraft Calc'!H$211)</f>
        <v>2.2000000000000002</v>
      </c>
      <c r="I547" s="186">
        <f>IF(ALECA_Input!$F$13="ICAO (3000ft)",'Aircraft Calc'!E$211,'Aircraft Calc'!I$211)</f>
        <v>4</v>
      </c>
      <c r="J547" s="189">
        <v>1</v>
      </c>
      <c r="K547" s="187">
        <f t="shared" si="121"/>
        <v>193.98000000000002</v>
      </c>
      <c r="L547" s="187">
        <f t="shared" si="122"/>
        <v>2.6678106000000001</v>
      </c>
      <c r="M547" s="187">
        <f t="shared" si="123"/>
        <v>0.10866720000000001</v>
      </c>
      <c r="N547" s="187">
        <f t="shared" si="124"/>
        <v>0.62607840000000015</v>
      </c>
      <c r="O547" s="187">
        <f t="shared" si="125"/>
        <v>8.9302983645973749E-2</v>
      </c>
      <c r="P547" s="188">
        <f t="shared" si="126"/>
        <v>1.2284751949017009E+18</v>
      </c>
      <c r="Q547" s="187">
        <f t="shared" si="127"/>
        <v>7199.9999999999991</v>
      </c>
      <c r="R547" s="219">
        <f t="shared" si="128"/>
        <v>12.383999999999999</v>
      </c>
      <c r="S547" s="219">
        <f t="shared" si="129"/>
        <v>22.319999999999997</v>
      </c>
      <c r="T547" s="219">
        <f t="shared" si="130"/>
        <v>235.29599999999996</v>
      </c>
      <c r="U547" s="219">
        <f t="shared" si="131"/>
        <v>3.077384968289878</v>
      </c>
      <c r="V547" s="188">
        <f t="shared" si="132"/>
        <v>1.3054152387259338E+17</v>
      </c>
      <c r="W547" s="323">
        <v>0.87</v>
      </c>
      <c r="X547" s="323">
        <v>0.72</v>
      </c>
      <c r="Y547" s="323">
        <v>0.26</v>
      </c>
      <c r="Z547" s="323">
        <v>0.12</v>
      </c>
      <c r="AA547" s="323">
        <v>20.309999999999999</v>
      </c>
      <c r="AB547" s="323">
        <v>17.13</v>
      </c>
      <c r="AC547" s="323">
        <v>4.7700000000000005</v>
      </c>
      <c r="AD547" s="323">
        <v>1.72</v>
      </c>
      <c r="AE547" s="323">
        <v>0.56000000000000005</v>
      </c>
      <c r="AF547" s="323">
        <v>0.37</v>
      </c>
      <c r="AG547" s="323">
        <v>0.85</v>
      </c>
      <c r="AH547" s="323">
        <v>3.1</v>
      </c>
      <c r="AI547" s="323">
        <v>1.68</v>
      </c>
      <c r="AJ547" s="323">
        <v>1.93</v>
      </c>
      <c r="AK547" s="323">
        <v>6.11</v>
      </c>
      <c r="AL547" s="323">
        <v>32.68</v>
      </c>
      <c r="AM547" s="323">
        <v>0.41422987606157363</v>
      </c>
      <c r="AN547" s="323">
        <v>0.41132540294484898</v>
      </c>
      <c r="AO547" s="323">
        <v>0.28154160382700977</v>
      </c>
      <c r="AP547" s="323">
        <v>0.35932757892914979</v>
      </c>
      <c r="AQ547" s="323">
        <v>0.52758987606157359</v>
      </c>
      <c r="AR547" s="323">
        <v>0.48840540294484897</v>
      </c>
      <c r="AS547" s="323">
        <v>0.37831410382700975</v>
      </c>
      <c r="AT547" s="323">
        <v>0.42741457892914975</v>
      </c>
      <c r="AU547" s="190">
        <v>2612624904277541.5</v>
      </c>
      <c r="AV547" s="190">
        <v>2594305851893614.5</v>
      </c>
      <c r="AW547" s="190">
        <v>1.4205882255375486E+16</v>
      </c>
      <c r="AX547" s="190">
        <v>1.813076720452686E+16</v>
      </c>
      <c r="AY547" s="203">
        <v>3</v>
      </c>
      <c r="AZ547" s="239">
        <v>68.5</v>
      </c>
      <c r="BA547" s="203">
        <v>1988</v>
      </c>
      <c r="BB547" s="204">
        <v>39296</v>
      </c>
      <c r="BC547" s="203" t="s">
        <v>3151</v>
      </c>
    </row>
    <row r="548" spans="1:55" x14ac:dyDescent="0.2">
      <c r="A548" s="184" t="s">
        <v>2188</v>
      </c>
      <c r="B548" s="184" t="s">
        <v>2187</v>
      </c>
      <c r="C548" s="184" t="s">
        <v>934</v>
      </c>
      <c r="D548" s="185" t="s">
        <v>1043</v>
      </c>
      <c r="E548" s="184" t="s">
        <v>2192</v>
      </c>
      <c r="F548" s="184" t="s">
        <v>2189</v>
      </c>
      <c r="G548" s="186">
        <f>IF(ALECA_Input!$F$13="ICAO (3000ft)",'Aircraft Calc'!C$211,'Aircraft Calc'!G$211)</f>
        <v>0.7</v>
      </c>
      <c r="H548" s="186">
        <f>IF(ALECA_Input!$F$13="ICAO (3000ft)",'Aircraft Calc'!D$211,'Aircraft Calc'!H$211)</f>
        <v>2.2000000000000002</v>
      </c>
      <c r="I548" s="186">
        <f>IF(ALECA_Input!$F$13="ICAO (3000ft)",'Aircraft Calc'!E$211,'Aircraft Calc'!I$211)</f>
        <v>4</v>
      </c>
      <c r="J548" s="189">
        <v>1</v>
      </c>
      <c r="K548" s="187">
        <f t="shared" ref="K548:K611" si="145">(G548*W548*60+H548*X548*60+I548*Y548*60)</f>
        <v>639.90000000000009</v>
      </c>
      <c r="L548" s="187">
        <f t="shared" ref="L548:L611" si="146">(G548*W548*60*AA548+H548*X548*60*AB548+I548*Y548*60*AC548)/1000</f>
        <v>13.754010600000001</v>
      </c>
      <c r="M548" s="187">
        <f t="shared" ref="M548:M611" si="147">(G548*W548*60*AE548+H548*X548*60*AF548+I548*Y548*60*AG548)/1000</f>
        <v>5.151600000000001E-3</v>
      </c>
      <c r="N548" s="187">
        <f t="shared" ref="N548:N611" si="148">(G548*W548*60*AI548+H548*X548*60*AJ548+I548*Y548*60*AK548)/1000</f>
        <v>0.26885520000000002</v>
      </c>
      <c r="O548" s="187">
        <f t="shared" ref="O548:O611" si="149">(G548*W548*60*AQ548+H548*X548*60*AR548+I548*Y548*60*AS548)/1000</f>
        <v>6.036339812570813E-2</v>
      </c>
      <c r="P548" s="188">
        <f t="shared" ref="P548:P611" si="150">(G548*W548*60*AU548+H548*X548*60*AV548+I548*Y548*60*AW548)</f>
        <v>4.2194078275515494E+17</v>
      </c>
      <c r="Q548" s="187">
        <f t="shared" ref="Q548:Q611" si="151">J548*Z548*60*1000</f>
        <v>16200.000000000004</v>
      </c>
      <c r="R548" s="219">
        <f t="shared" ref="R548:R611" si="152">J548*Z548*60*AD548</f>
        <v>73.224000000000018</v>
      </c>
      <c r="S548" s="219">
        <f t="shared" ref="S548:S611" si="153">J548*Z548*60*AH548</f>
        <v>30.618000000000006</v>
      </c>
      <c r="T548" s="219">
        <f t="shared" ref="T548:T611" si="154">J548*Z548*60*AL548</f>
        <v>327.56400000000002</v>
      </c>
      <c r="U548" s="219">
        <f t="shared" ref="U548:U611" si="155">J548*Z548*60*AT548</f>
        <v>1.562870066831259</v>
      </c>
      <c r="V548" s="188">
        <f t="shared" ref="V548:V611" si="156">J548*Z548*60*AX548</f>
        <v>2.9305961990069008E+16</v>
      </c>
      <c r="W548" s="323">
        <v>2.97</v>
      </c>
      <c r="X548" s="323">
        <v>2.4300000000000002</v>
      </c>
      <c r="Y548" s="323">
        <v>0.81</v>
      </c>
      <c r="Z548" s="323">
        <v>0.27</v>
      </c>
      <c r="AA548" s="323">
        <v>31.25</v>
      </c>
      <c r="AB548" s="323">
        <v>24.66</v>
      </c>
      <c r="AC548" s="323">
        <v>10.01</v>
      </c>
      <c r="AD548" s="323">
        <v>4.5200000000000005</v>
      </c>
      <c r="AE548" s="323">
        <v>0</v>
      </c>
      <c r="AF548" s="323">
        <v>0.01</v>
      </c>
      <c r="AG548" s="323">
        <v>0.01</v>
      </c>
      <c r="AH548" s="323">
        <v>1.8900000000000001</v>
      </c>
      <c r="AI548" s="323">
        <v>0.18</v>
      </c>
      <c r="AJ548" s="323">
        <v>0.15</v>
      </c>
      <c r="AK548" s="323">
        <v>1.02</v>
      </c>
      <c r="AL548" s="323">
        <v>20.22</v>
      </c>
      <c r="AM548" s="323">
        <v>5.3645109808528414E-2</v>
      </c>
      <c r="AN548" s="323">
        <v>5.153202003462154E-2</v>
      </c>
      <c r="AO548" s="323">
        <v>2.8084695380077601E-2</v>
      </c>
      <c r="AP548" s="323">
        <v>3.5852160915509794E-2</v>
      </c>
      <c r="AQ548" s="323">
        <v>0.10260510980852841</v>
      </c>
      <c r="AR548" s="323">
        <v>0.10125202003462155</v>
      </c>
      <c r="AS548" s="323">
        <v>7.7607195380077598E-2</v>
      </c>
      <c r="AT548" s="323">
        <v>9.647346091550979E-2</v>
      </c>
      <c r="AU548" s="190">
        <v>338349689334410.38</v>
      </c>
      <c r="AV548" s="190">
        <v>325022038946724</v>
      </c>
      <c r="AW548" s="190">
        <v>1417083195962085.3</v>
      </c>
      <c r="AX548" s="190">
        <v>1809009999386975.5</v>
      </c>
      <c r="AY548" s="203">
        <v>15.7</v>
      </c>
      <c r="AZ548" s="239">
        <v>300.3</v>
      </c>
      <c r="BA548" s="203">
        <v>1994</v>
      </c>
      <c r="BB548" s="204">
        <v>37448</v>
      </c>
      <c r="BC548" s="203" t="s">
        <v>3152</v>
      </c>
    </row>
    <row r="549" spans="1:55" x14ac:dyDescent="0.2">
      <c r="A549" s="184" t="s">
        <v>2191</v>
      </c>
      <c r="B549" s="184" t="s">
        <v>2190</v>
      </c>
      <c r="C549" s="184" t="s">
        <v>934</v>
      </c>
      <c r="D549" s="185" t="s">
        <v>1043</v>
      </c>
      <c r="E549" s="184" t="s">
        <v>2192</v>
      </c>
      <c r="F549" s="184" t="s">
        <v>2193</v>
      </c>
      <c r="G549" s="186">
        <f>IF(ALECA_Input!$F$13="ICAO (3000ft)",'Aircraft Calc'!C$211,'Aircraft Calc'!G$211)</f>
        <v>0.7</v>
      </c>
      <c r="H549" s="186">
        <f>IF(ALECA_Input!$F$13="ICAO (3000ft)",'Aircraft Calc'!D$211,'Aircraft Calc'!H$211)</f>
        <v>2.2000000000000002</v>
      </c>
      <c r="I549" s="186">
        <f>IF(ALECA_Input!$F$13="ICAO (3000ft)",'Aircraft Calc'!E$211,'Aircraft Calc'!I$211)</f>
        <v>4</v>
      </c>
      <c r="J549" s="189">
        <v>1</v>
      </c>
      <c r="K549" s="187">
        <f t="shared" si="145"/>
        <v>623.03400000000011</v>
      </c>
      <c r="L549" s="187">
        <f t="shared" si="146"/>
        <v>13.611271739999999</v>
      </c>
      <c r="M549" s="187">
        <f t="shared" si="147"/>
        <v>1.0632600000000001E-2</v>
      </c>
      <c r="N549" s="187">
        <f t="shared" si="148"/>
        <v>0.5168703</v>
      </c>
      <c r="O549" s="187">
        <f t="shared" si="149"/>
        <v>5.6587409513245951E-2</v>
      </c>
      <c r="P549" s="188">
        <f t="shared" si="150"/>
        <v>3.727472953884937E+17</v>
      </c>
      <c r="Q549" s="187">
        <f t="shared" si="151"/>
        <v>15540.000000000002</v>
      </c>
      <c r="R549" s="219">
        <f t="shared" si="152"/>
        <v>69.308400000000006</v>
      </c>
      <c r="S549" s="219">
        <f t="shared" si="153"/>
        <v>49.572600000000001</v>
      </c>
      <c r="T549" s="219">
        <f t="shared" si="154"/>
        <v>418.64760000000007</v>
      </c>
      <c r="U549" s="219">
        <f t="shared" si="155"/>
        <v>1.4435571484641103</v>
      </c>
      <c r="V549" s="188">
        <f t="shared" si="156"/>
        <v>1.9015197544918316E+16</v>
      </c>
      <c r="W549" s="323">
        <v>2.907</v>
      </c>
      <c r="X549" s="323">
        <v>2.375</v>
      </c>
      <c r="Y549" s="323">
        <v>0.78100000000000003</v>
      </c>
      <c r="Z549" s="323">
        <v>0.25900000000000001</v>
      </c>
      <c r="AA549" s="323">
        <v>32.01</v>
      </c>
      <c r="AB549" s="323">
        <v>24.9</v>
      </c>
      <c r="AC549" s="323">
        <v>10.119999999999999</v>
      </c>
      <c r="AD549" s="323">
        <v>4.46</v>
      </c>
      <c r="AE549" s="323">
        <v>0</v>
      </c>
      <c r="AF549" s="323">
        <v>0.01</v>
      </c>
      <c r="AG549" s="323">
        <v>0.04</v>
      </c>
      <c r="AH549" s="323">
        <v>3.19</v>
      </c>
      <c r="AI549" s="323">
        <v>0.35</v>
      </c>
      <c r="AJ549" s="323">
        <v>0.49</v>
      </c>
      <c r="AK549" s="323">
        <v>1.71</v>
      </c>
      <c r="AL549" s="323">
        <v>26.94</v>
      </c>
      <c r="AM549" s="323">
        <v>3.5437515437076066E-2</v>
      </c>
      <c r="AN549" s="323">
        <v>5.1949663431699482E-2</v>
      </c>
      <c r="AO549" s="323">
        <v>2.566547896731641E-2</v>
      </c>
      <c r="AP549" s="323">
        <v>2.4250695396660887E-2</v>
      </c>
      <c r="AQ549" s="323">
        <v>8.4397515437076076E-2</v>
      </c>
      <c r="AR549" s="323">
        <v>0.10166966343169949</v>
      </c>
      <c r="AS549" s="323">
        <v>7.6875478967316405E-2</v>
      </c>
      <c r="AT549" s="323">
        <v>9.2892995396660891E-2</v>
      </c>
      <c r="AU549" s="190">
        <v>223511003737601.88</v>
      </c>
      <c r="AV549" s="190">
        <v>327656193563207.31</v>
      </c>
      <c r="AW549" s="190">
        <v>1295015611481484.5</v>
      </c>
      <c r="AX549" s="190">
        <v>1223629185644679.3</v>
      </c>
      <c r="AY549" s="203">
        <v>15.4</v>
      </c>
      <c r="AZ549" s="239">
        <v>304.2</v>
      </c>
      <c r="BA549" s="203">
        <v>2014</v>
      </c>
      <c r="BB549" s="204">
        <v>42087</v>
      </c>
      <c r="BC549" s="203" t="s">
        <v>716</v>
      </c>
    </row>
    <row r="550" spans="1:55" s="558" customFormat="1" x14ac:dyDescent="0.2">
      <c r="A550" s="558" t="s">
        <v>2195</v>
      </c>
      <c r="B550" s="558" t="s">
        <v>2194</v>
      </c>
      <c r="C550" s="558" t="s">
        <v>934</v>
      </c>
      <c r="D550" s="559" t="s">
        <v>1043</v>
      </c>
      <c r="E550" s="558" t="s">
        <v>2196</v>
      </c>
      <c r="F550" s="558" t="s">
        <v>2197</v>
      </c>
      <c r="G550" s="560">
        <f>IF(ALECA_Input!$F$13="ICAO (3000ft)",'Aircraft Calc'!C$211,'Aircraft Calc'!G$211)</f>
        <v>0.7</v>
      </c>
      <c r="H550" s="560">
        <f>IF(ALECA_Input!$F$13="ICAO (3000ft)",'Aircraft Calc'!D$211,'Aircraft Calc'!H$211)</f>
        <v>2.2000000000000002</v>
      </c>
      <c r="I550" s="560">
        <f>IF(ALECA_Input!$F$13="ICAO (3000ft)",'Aircraft Calc'!E$211,'Aircraft Calc'!I$211)</f>
        <v>4</v>
      </c>
      <c r="J550" s="561">
        <v>1</v>
      </c>
      <c r="K550" s="562">
        <f t="shared" si="145"/>
        <v>662.83799999999997</v>
      </c>
      <c r="L550" s="562">
        <f t="shared" si="146"/>
        <v>15.698123279999999</v>
      </c>
      <c r="M550" s="562">
        <f t="shared" si="147"/>
        <v>1.2539580000000002E-2</v>
      </c>
      <c r="N550" s="562">
        <f t="shared" si="148"/>
        <v>0.49870878000000007</v>
      </c>
      <c r="O550" s="562">
        <f t="shared" si="149"/>
        <v>5.9630938482745803E-2</v>
      </c>
      <c r="P550" s="563">
        <f t="shared" si="150"/>
        <v>4.044376772766007E+17</v>
      </c>
      <c r="Q550" s="562">
        <f t="shared" si="151"/>
        <v>16200.000000000004</v>
      </c>
      <c r="R550" s="562">
        <f t="shared" si="152"/>
        <v>75.492000000000019</v>
      </c>
      <c r="S550" s="562">
        <f t="shared" si="153"/>
        <v>39.852000000000004</v>
      </c>
      <c r="T550" s="562">
        <f t="shared" si="154"/>
        <v>388.31400000000002</v>
      </c>
      <c r="U550" s="562">
        <f t="shared" si="155"/>
        <v>1.4192461923503512</v>
      </c>
      <c r="V550" s="563">
        <f t="shared" si="156"/>
        <v>1.9184308133144856E+16</v>
      </c>
      <c r="W550" s="564">
        <v>3.1389999999999998</v>
      </c>
      <c r="X550" s="564">
        <v>2.5299999999999998</v>
      </c>
      <c r="Y550" s="564">
        <v>0.82099999999999995</v>
      </c>
      <c r="Z550" s="564">
        <v>0.27</v>
      </c>
      <c r="AA550" s="564">
        <v>35.56</v>
      </c>
      <c r="AB550" s="564">
        <v>26.82</v>
      </c>
      <c r="AC550" s="564">
        <v>10.42</v>
      </c>
      <c r="AD550" s="564">
        <v>4.66</v>
      </c>
      <c r="AE550" s="564">
        <v>0.01</v>
      </c>
      <c r="AF550" s="564">
        <v>0.01</v>
      </c>
      <c r="AG550" s="564">
        <v>0.04</v>
      </c>
      <c r="AH550" s="564">
        <v>2.46</v>
      </c>
      <c r="AI550" s="564">
        <v>0.21</v>
      </c>
      <c r="AJ550" s="564">
        <v>0.49</v>
      </c>
      <c r="AK550" s="564">
        <v>1.56</v>
      </c>
      <c r="AL550" s="564">
        <v>23.97</v>
      </c>
      <c r="AM550" s="564">
        <v>3.1397044654568683E-2</v>
      </c>
      <c r="AN550" s="564">
        <v>5.0279089843387754E-2</v>
      </c>
      <c r="AO550" s="564">
        <v>2.7401026621391624E-2</v>
      </c>
      <c r="AP550" s="564">
        <v>2.3469589651256249E-2</v>
      </c>
      <c r="AQ550" s="564">
        <v>8.1507044654568678E-2</v>
      </c>
      <c r="AR550" s="564">
        <v>9.9999089843387762E-2</v>
      </c>
      <c r="AS550" s="564">
        <v>7.8611026621391633E-2</v>
      </c>
      <c r="AT550" s="564">
        <v>8.7607789651256235E-2</v>
      </c>
      <c r="AU550" s="565">
        <v>198027002699937.94</v>
      </c>
      <c r="AV550" s="565">
        <v>317119575097274.38</v>
      </c>
      <c r="AW550" s="565">
        <v>1382586987389162.5</v>
      </c>
      <c r="AX550" s="565">
        <v>1184216551428694.5</v>
      </c>
      <c r="AY550" s="566">
        <v>17.7</v>
      </c>
      <c r="AZ550" s="567">
        <v>320.3</v>
      </c>
      <c r="BA550" s="566">
        <v>2014</v>
      </c>
      <c r="BB550" s="568">
        <v>42087</v>
      </c>
      <c r="BC550" s="566" t="s">
        <v>3153</v>
      </c>
    </row>
    <row r="551" spans="1:55" x14ac:dyDescent="0.2">
      <c r="A551" s="184" t="s">
        <v>2199</v>
      </c>
      <c r="B551" s="184" t="s">
        <v>2198</v>
      </c>
      <c r="C551" s="184" t="s">
        <v>934</v>
      </c>
      <c r="D551" s="185" t="s">
        <v>1043</v>
      </c>
      <c r="E551" s="184" t="s">
        <v>2200</v>
      </c>
      <c r="F551" s="184" t="s">
        <v>2201</v>
      </c>
      <c r="G551" s="186">
        <f>IF(ALECA_Input!$F$13="ICAO (3000ft)",'Aircraft Calc'!C$211,'Aircraft Calc'!G$211)</f>
        <v>0.7</v>
      </c>
      <c r="H551" s="186">
        <f>IF(ALECA_Input!$F$13="ICAO (3000ft)",'Aircraft Calc'!D$211,'Aircraft Calc'!H$211)</f>
        <v>2.2000000000000002</v>
      </c>
      <c r="I551" s="186">
        <f>IF(ALECA_Input!$F$13="ICAO (3000ft)",'Aircraft Calc'!E$211,'Aircraft Calc'!I$211)</f>
        <v>4</v>
      </c>
      <c r="J551" s="189">
        <v>1</v>
      </c>
      <c r="K551" s="187">
        <f t="shared" si="145"/>
        <v>534.22199999999998</v>
      </c>
      <c r="L551" s="187">
        <f t="shared" si="146"/>
        <v>12.957452580000002</v>
      </c>
      <c r="M551" s="187">
        <f t="shared" si="147"/>
        <v>0</v>
      </c>
      <c r="N551" s="187">
        <f t="shared" si="148"/>
        <v>0.41934294</v>
      </c>
      <c r="O551" s="187">
        <f t="shared" si="149"/>
        <v>5.806702673340227E-2</v>
      </c>
      <c r="P551" s="188">
        <f t="shared" si="150"/>
        <v>7.6767315046588429E+17</v>
      </c>
      <c r="Q551" s="187">
        <f t="shared" si="151"/>
        <v>16200.000000000004</v>
      </c>
      <c r="R551" s="219">
        <f t="shared" si="152"/>
        <v>70.956000000000017</v>
      </c>
      <c r="S551" s="219">
        <f t="shared" si="153"/>
        <v>21.060000000000006</v>
      </c>
      <c r="T551" s="219">
        <f t="shared" si="154"/>
        <v>394.63200000000006</v>
      </c>
      <c r="U551" s="219">
        <f t="shared" si="155"/>
        <v>1.1067066477722636</v>
      </c>
      <c r="V551" s="188">
        <f t="shared" si="156"/>
        <v>9264723898643668</v>
      </c>
      <c r="W551" s="323">
        <v>2.411</v>
      </c>
      <c r="X551" s="323">
        <v>1.98</v>
      </c>
      <c r="Y551" s="323">
        <v>0.71499999999999997</v>
      </c>
      <c r="Z551" s="323">
        <v>0.27</v>
      </c>
      <c r="AA551" s="323">
        <v>36.590000000000003</v>
      </c>
      <c r="AB551" s="323">
        <v>28.5</v>
      </c>
      <c r="AC551" s="323">
        <v>10.51</v>
      </c>
      <c r="AD551" s="323">
        <v>4.38</v>
      </c>
      <c r="AE551" s="323">
        <v>0</v>
      </c>
      <c r="AF551" s="323">
        <v>0</v>
      </c>
      <c r="AG551" s="323">
        <v>0</v>
      </c>
      <c r="AH551" s="323">
        <v>1.3</v>
      </c>
      <c r="AI551" s="323">
        <v>0.37</v>
      </c>
      <c r="AJ551" s="323">
        <v>0.45</v>
      </c>
      <c r="AK551" s="323">
        <v>1.54</v>
      </c>
      <c r="AL551" s="323">
        <v>24.36</v>
      </c>
      <c r="AM551" s="323">
        <v>4.3967856692488969E-2</v>
      </c>
      <c r="AN551" s="323">
        <v>5.5977622986317248E-2</v>
      </c>
      <c r="AO551" s="323">
        <v>7.4760681615988228E-2</v>
      </c>
      <c r="AP551" s="323">
        <v>1.1334225171127367E-2</v>
      </c>
      <c r="AQ551" s="323">
        <v>9.2927856692488986E-2</v>
      </c>
      <c r="AR551" s="323">
        <v>0.10493762298631724</v>
      </c>
      <c r="AS551" s="323">
        <v>0.12372068161598822</v>
      </c>
      <c r="AT551" s="323">
        <v>6.8315225171127369E-2</v>
      </c>
      <c r="AU551" s="190">
        <v>277313453280292.72</v>
      </c>
      <c r="AV551" s="190">
        <v>353061283958601.13</v>
      </c>
      <c r="AW551" s="190">
        <v>3772236237671301</v>
      </c>
      <c r="AX551" s="190">
        <v>571896536953312.75</v>
      </c>
      <c r="AY551" s="203">
        <v>14.8</v>
      </c>
      <c r="AZ551" s="239">
        <v>334</v>
      </c>
      <c r="BA551" s="203">
        <v>2014</v>
      </c>
      <c r="BB551" s="204">
        <v>43062</v>
      </c>
      <c r="BC551" s="203" t="s">
        <v>2202</v>
      </c>
    </row>
    <row r="552" spans="1:55" x14ac:dyDescent="0.2">
      <c r="A552" s="184" t="s">
        <v>2204</v>
      </c>
      <c r="B552" s="184" t="s">
        <v>2203</v>
      </c>
      <c r="C552" s="184" t="s">
        <v>934</v>
      </c>
      <c r="D552" s="185" t="s">
        <v>1043</v>
      </c>
      <c r="E552" s="184" t="s">
        <v>2205</v>
      </c>
      <c r="F552" s="184" t="s">
        <v>2206</v>
      </c>
      <c r="G552" s="186">
        <f>IF(ALECA_Input!$F$13="ICAO (3000ft)",'Aircraft Calc'!C$211,'Aircraft Calc'!G$211)</f>
        <v>0.7</v>
      </c>
      <c r="H552" s="186">
        <f>IF(ALECA_Input!$F$13="ICAO (3000ft)",'Aircraft Calc'!D$211,'Aircraft Calc'!H$211)</f>
        <v>2.2000000000000002</v>
      </c>
      <c r="I552" s="186">
        <f>IF(ALECA_Input!$F$13="ICAO (3000ft)",'Aircraft Calc'!E$211,'Aircraft Calc'!I$211)</f>
        <v>4</v>
      </c>
      <c r="J552" s="189">
        <v>1</v>
      </c>
      <c r="K552" s="187">
        <f t="shared" si="145"/>
        <v>571.47</v>
      </c>
      <c r="L552" s="187">
        <f t="shared" si="146"/>
        <v>15.167925299999999</v>
      </c>
      <c r="M552" s="187">
        <f t="shared" si="147"/>
        <v>0</v>
      </c>
      <c r="N552" s="187">
        <f t="shared" si="148"/>
        <v>0.4048833</v>
      </c>
      <c r="O552" s="187">
        <f t="shared" si="149"/>
        <v>6.2018429423920544E-2</v>
      </c>
      <c r="P552" s="188">
        <f t="shared" si="150"/>
        <v>8.5017412167812019E+17</v>
      </c>
      <c r="Q552" s="187">
        <f t="shared" si="151"/>
        <v>16800</v>
      </c>
      <c r="R552" s="219">
        <f t="shared" si="152"/>
        <v>76.44</v>
      </c>
      <c r="S552" s="219">
        <f t="shared" si="153"/>
        <v>18.648000000000003</v>
      </c>
      <c r="T552" s="219">
        <f t="shared" si="154"/>
        <v>378.16800000000006</v>
      </c>
      <c r="U552" s="219">
        <f t="shared" si="155"/>
        <v>1.1280011428749399</v>
      </c>
      <c r="V552" s="188">
        <f t="shared" si="156"/>
        <v>9607861820815654</v>
      </c>
      <c r="W552" s="323">
        <v>2.601</v>
      </c>
      <c r="X552" s="323">
        <v>2.129</v>
      </c>
      <c r="Y552" s="323">
        <v>0.755</v>
      </c>
      <c r="Z552" s="323">
        <v>0.28000000000000003</v>
      </c>
      <c r="AA552" s="323">
        <v>40.549999999999997</v>
      </c>
      <c r="AB552" s="323">
        <v>31.15</v>
      </c>
      <c r="AC552" s="323">
        <v>10.95</v>
      </c>
      <c r="AD552" s="323">
        <v>4.55</v>
      </c>
      <c r="AE552" s="323">
        <v>0</v>
      </c>
      <c r="AF552" s="323">
        <v>0</v>
      </c>
      <c r="AG552" s="323">
        <v>0</v>
      </c>
      <c r="AH552" s="323">
        <v>1.1100000000000001</v>
      </c>
      <c r="AI552" s="323">
        <v>0.37</v>
      </c>
      <c r="AJ552" s="323">
        <v>0.42</v>
      </c>
      <c r="AK552" s="323">
        <v>1.36</v>
      </c>
      <c r="AL552" s="323">
        <v>22.51</v>
      </c>
      <c r="AM552" s="323">
        <v>4.3011058111558739E-2</v>
      </c>
      <c r="AN552" s="323">
        <v>5.3186996762369036E-2</v>
      </c>
      <c r="AO552" s="323">
        <v>7.9434927635555139E-2</v>
      </c>
      <c r="AP552" s="323">
        <v>1.1334225171127367E-2</v>
      </c>
      <c r="AQ552" s="323">
        <v>9.1971058111558729E-2</v>
      </c>
      <c r="AR552" s="323">
        <v>0.10214699676236905</v>
      </c>
      <c r="AS552" s="323">
        <v>0.12839492763555516</v>
      </c>
      <c r="AT552" s="323">
        <v>6.7142925171127368E-2</v>
      </c>
      <c r="AU552" s="190">
        <v>271278746598382.25</v>
      </c>
      <c r="AV552" s="190">
        <v>335460285110962.88</v>
      </c>
      <c r="AW552" s="190">
        <v>4008086952748654</v>
      </c>
      <c r="AX552" s="190">
        <v>571896536953312.75</v>
      </c>
      <c r="AY552" s="203">
        <v>17.2</v>
      </c>
      <c r="AZ552" s="239">
        <v>355.2</v>
      </c>
      <c r="BA552" s="203">
        <v>2014</v>
      </c>
      <c r="BB552" s="204">
        <v>43062</v>
      </c>
      <c r="BC552" s="203" t="s">
        <v>2202</v>
      </c>
    </row>
    <row r="553" spans="1:55" x14ac:dyDescent="0.2">
      <c r="A553" s="184" t="s">
        <v>2208</v>
      </c>
      <c r="B553" s="184" t="s">
        <v>2207</v>
      </c>
      <c r="C553" s="184" t="s">
        <v>934</v>
      </c>
      <c r="D553" s="185" t="s">
        <v>1043</v>
      </c>
      <c r="E553" s="184" t="s">
        <v>2209</v>
      </c>
      <c r="F553" s="184" t="s">
        <v>2210</v>
      </c>
      <c r="G553" s="186">
        <f>IF(ALECA_Input!$F$13="ICAO (3000ft)",'Aircraft Calc'!C$211,'Aircraft Calc'!G$211)</f>
        <v>0.7</v>
      </c>
      <c r="H553" s="186">
        <f>IF(ALECA_Input!$F$13="ICAO (3000ft)",'Aircraft Calc'!D$211,'Aircraft Calc'!H$211)</f>
        <v>2.2000000000000002</v>
      </c>
      <c r="I553" s="186">
        <f>IF(ALECA_Input!$F$13="ICAO (3000ft)",'Aircraft Calc'!E$211,'Aircraft Calc'!I$211)</f>
        <v>4</v>
      </c>
      <c r="J553" s="189">
        <v>1</v>
      </c>
      <c r="K553" s="187">
        <f t="shared" si="145"/>
        <v>571.47</v>
      </c>
      <c r="L553" s="187">
        <f t="shared" si="146"/>
        <v>15.167925299999999</v>
      </c>
      <c r="M553" s="187">
        <f t="shared" si="147"/>
        <v>0</v>
      </c>
      <c r="N553" s="187">
        <f t="shared" si="148"/>
        <v>0.4048833</v>
      </c>
      <c r="O553" s="187">
        <f t="shared" si="149"/>
        <v>6.2018429423920544E-2</v>
      </c>
      <c r="P553" s="188">
        <f t="shared" si="150"/>
        <v>8.5017412167812019E+17</v>
      </c>
      <c r="Q553" s="187">
        <f t="shared" si="151"/>
        <v>16800</v>
      </c>
      <c r="R553" s="219">
        <f t="shared" si="152"/>
        <v>76.44</v>
      </c>
      <c r="S553" s="219">
        <f t="shared" si="153"/>
        <v>18.648000000000003</v>
      </c>
      <c r="T553" s="219">
        <f t="shared" si="154"/>
        <v>378.16800000000006</v>
      </c>
      <c r="U553" s="219">
        <f t="shared" si="155"/>
        <v>1.1280011428749399</v>
      </c>
      <c r="V553" s="188">
        <f t="shared" si="156"/>
        <v>9607861820815654</v>
      </c>
      <c r="W553" s="323">
        <v>2.601</v>
      </c>
      <c r="X553" s="323">
        <v>2.129</v>
      </c>
      <c r="Y553" s="323">
        <v>0.755</v>
      </c>
      <c r="Z553" s="323">
        <v>0.28000000000000003</v>
      </c>
      <c r="AA553" s="323">
        <v>40.549999999999997</v>
      </c>
      <c r="AB553" s="323">
        <v>31.15</v>
      </c>
      <c r="AC553" s="323">
        <v>10.95</v>
      </c>
      <c r="AD553" s="323">
        <v>4.55</v>
      </c>
      <c r="AE553" s="323">
        <v>0</v>
      </c>
      <c r="AF553" s="323">
        <v>0</v>
      </c>
      <c r="AG553" s="323">
        <v>0</v>
      </c>
      <c r="AH553" s="323">
        <v>1.1100000000000001</v>
      </c>
      <c r="AI553" s="323">
        <v>0.37</v>
      </c>
      <c r="AJ553" s="323">
        <v>0.42</v>
      </c>
      <c r="AK553" s="323">
        <v>1.36</v>
      </c>
      <c r="AL553" s="323">
        <v>22.51</v>
      </c>
      <c r="AM553" s="323">
        <v>4.3011058111558739E-2</v>
      </c>
      <c r="AN553" s="323">
        <v>5.3186996762369036E-2</v>
      </c>
      <c r="AO553" s="323">
        <v>7.9434927635555139E-2</v>
      </c>
      <c r="AP553" s="323">
        <v>1.1334225171127367E-2</v>
      </c>
      <c r="AQ553" s="323">
        <v>9.1971058111558729E-2</v>
      </c>
      <c r="AR553" s="323">
        <v>0.10214699676236905</v>
      </c>
      <c r="AS553" s="323">
        <v>0.12839492763555516</v>
      </c>
      <c r="AT553" s="323">
        <v>6.7142925171127368E-2</v>
      </c>
      <c r="AU553" s="190">
        <v>271278746598382.25</v>
      </c>
      <c r="AV553" s="190">
        <v>335460285110962.88</v>
      </c>
      <c r="AW553" s="190">
        <v>4008086952748654</v>
      </c>
      <c r="AX553" s="190">
        <v>571896536953312.75</v>
      </c>
      <c r="AY553" s="203">
        <v>17.2</v>
      </c>
      <c r="AZ553" s="239">
        <v>355.2</v>
      </c>
      <c r="BA553" s="203">
        <v>2014</v>
      </c>
      <c r="BB553" s="204">
        <v>43062</v>
      </c>
      <c r="BC553" s="203" t="s">
        <v>2202</v>
      </c>
    </row>
    <row r="554" spans="1:55" x14ac:dyDescent="0.2">
      <c r="A554" s="184" t="s">
        <v>2212</v>
      </c>
      <c r="B554" s="184" t="s">
        <v>2211</v>
      </c>
      <c r="C554" s="184" t="s">
        <v>934</v>
      </c>
      <c r="D554" s="185" t="s">
        <v>1043</v>
      </c>
      <c r="E554" s="184" t="s">
        <v>2213</v>
      </c>
      <c r="F554" s="184" t="s">
        <v>404</v>
      </c>
      <c r="G554" s="186">
        <f>IF(ALECA_Input!$F$13="ICAO (3000ft)",'Aircraft Calc'!C$211,'Aircraft Calc'!G$211)</f>
        <v>0.7</v>
      </c>
      <c r="H554" s="186">
        <f>IF(ALECA_Input!$F$13="ICAO (3000ft)",'Aircraft Calc'!D$211,'Aircraft Calc'!H$211)</f>
        <v>2.2000000000000002</v>
      </c>
      <c r="I554" s="186">
        <f>IF(ALECA_Input!$F$13="ICAO (3000ft)",'Aircraft Calc'!E$211,'Aircraft Calc'!I$211)</f>
        <v>4</v>
      </c>
      <c r="J554" s="189">
        <v>1</v>
      </c>
      <c r="K554" s="187">
        <f t="shared" si="145"/>
        <v>615.03000000000009</v>
      </c>
      <c r="L554" s="187">
        <f t="shared" si="146"/>
        <v>18.098467200000002</v>
      </c>
      <c r="M554" s="187">
        <f t="shared" si="147"/>
        <v>0</v>
      </c>
      <c r="N554" s="187">
        <f t="shared" si="148"/>
        <v>0.39557609999999999</v>
      </c>
      <c r="O554" s="187">
        <f t="shared" si="149"/>
        <v>6.659834183875285E-2</v>
      </c>
      <c r="P554" s="188">
        <f t="shared" si="150"/>
        <v>9.3955522874763341E+17</v>
      </c>
      <c r="Q554" s="187">
        <f t="shared" si="151"/>
        <v>17459.999999999996</v>
      </c>
      <c r="R554" s="219">
        <f t="shared" si="152"/>
        <v>82.585799999999992</v>
      </c>
      <c r="S554" s="219">
        <f t="shared" si="153"/>
        <v>16.412399999999998</v>
      </c>
      <c r="T554" s="219">
        <f t="shared" si="154"/>
        <v>360.72359999999992</v>
      </c>
      <c r="U554" s="219">
        <f t="shared" si="155"/>
        <v>1.1368526754936503</v>
      </c>
      <c r="V554" s="188">
        <f t="shared" si="156"/>
        <v>9120017862282810</v>
      </c>
      <c r="W554" s="323">
        <v>2.819</v>
      </c>
      <c r="X554" s="323">
        <v>2.306</v>
      </c>
      <c r="Y554" s="323">
        <v>0.80100000000000005</v>
      </c>
      <c r="Z554" s="323">
        <v>0.29099999999999998</v>
      </c>
      <c r="AA554" s="323">
        <v>45.48</v>
      </c>
      <c r="AB554" s="323">
        <v>34.53</v>
      </c>
      <c r="AC554" s="323">
        <v>11.46</v>
      </c>
      <c r="AD554" s="323">
        <v>4.7300000000000004</v>
      </c>
      <c r="AE554" s="323">
        <v>0</v>
      </c>
      <c r="AF554" s="323">
        <v>0</v>
      </c>
      <c r="AG554" s="323">
        <v>0</v>
      </c>
      <c r="AH554" s="323">
        <v>0.94</v>
      </c>
      <c r="AI554" s="323">
        <v>0.39</v>
      </c>
      <c r="AJ554" s="323">
        <v>0.39</v>
      </c>
      <c r="AK554" s="323">
        <v>1.2</v>
      </c>
      <c r="AL554" s="323">
        <v>20.66</v>
      </c>
      <c r="AM554" s="323">
        <v>4.2003941536421757E-2</v>
      </c>
      <c r="AN554" s="323">
        <v>5.0739869418017815E-2</v>
      </c>
      <c r="AO554" s="323">
        <v>8.3585518293977895E-2</v>
      </c>
      <c r="AP554" s="323">
        <v>1.0352037084401529E-2</v>
      </c>
      <c r="AQ554" s="323">
        <v>9.0963941536421761E-2</v>
      </c>
      <c r="AR554" s="323">
        <v>9.9699869418017811E-2</v>
      </c>
      <c r="AS554" s="323">
        <v>0.13254551829397787</v>
      </c>
      <c r="AT554" s="323">
        <v>6.5111837084401519E-2</v>
      </c>
      <c r="AU554" s="190">
        <v>264926674964315.78</v>
      </c>
      <c r="AV554" s="190">
        <v>320025797611948.69</v>
      </c>
      <c r="AW554" s="190">
        <v>4217515333429629.5</v>
      </c>
      <c r="AX554" s="190">
        <v>522337792799702.88</v>
      </c>
      <c r="AY554" s="203">
        <v>20.2</v>
      </c>
      <c r="AZ554" s="239">
        <v>379</v>
      </c>
      <c r="BA554" s="203">
        <v>2014</v>
      </c>
      <c r="BB554" s="204">
        <v>43062</v>
      </c>
      <c r="BC554" s="203" t="s">
        <v>2202</v>
      </c>
    </row>
    <row r="555" spans="1:55" x14ac:dyDescent="0.2">
      <c r="A555" s="184" t="s">
        <v>2215</v>
      </c>
      <c r="B555" s="184" t="s">
        <v>2214</v>
      </c>
      <c r="C555" s="184" t="s">
        <v>934</v>
      </c>
      <c r="D555" s="185" t="s">
        <v>1043</v>
      </c>
      <c r="E555" s="184" t="s">
        <v>2216</v>
      </c>
      <c r="F555" s="184" t="s">
        <v>2201</v>
      </c>
      <c r="G555" s="186">
        <f>IF(ALECA_Input!$F$13="ICAO (3000ft)",'Aircraft Calc'!C$211,'Aircraft Calc'!G$211)</f>
        <v>0.7</v>
      </c>
      <c r="H555" s="186">
        <f>IF(ALECA_Input!$F$13="ICAO (3000ft)",'Aircraft Calc'!D$211,'Aircraft Calc'!H$211)</f>
        <v>2.2000000000000002</v>
      </c>
      <c r="I555" s="186">
        <f>IF(ALECA_Input!$F$13="ICAO (3000ft)",'Aircraft Calc'!E$211,'Aircraft Calc'!I$211)</f>
        <v>4</v>
      </c>
      <c r="J555" s="189">
        <v>1</v>
      </c>
      <c r="K555" s="187">
        <f t="shared" si="145"/>
        <v>534.22199999999998</v>
      </c>
      <c r="L555" s="187">
        <f t="shared" si="146"/>
        <v>12.80090466</v>
      </c>
      <c r="M555" s="187">
        <f t="shared" si="147"/>
        <v>1.7160000000000002E-2</v>
      </c>
      <c r="N555" s="187">
        <f t="shared" si="148"/>
        <v>0.41434578000000005</v>
      </c>
      <c r="O555" s="187">
        <f t="shared" si="149"/>
        <v>5.9802516002839541E-2</v>
      </c>
      <c r="P555" s="188">
        <f t="shared" si="150"/>
        <v>8.0124656038504717E+17</v>
      </c>
      <c r="Q555" s="187">
        <f t="shared" si="151"/>
        <v>16200.000000000004</v>
      </c>
      <c r="R555" s="219">
        <f t="shared" si="152"/>
        <v>65.772000000000006</v>
      </c>
      <c r="S555" s="219">
        <f t="shared" si="153"/>
        <v>23.004000000000001</v>
      </c>
      <c r="T555" s="219">
        <f t="shared" si="154"/>
        <v>409.2120000000001</v>
      </c>
      <c r="U555" s="219">
        <f t="shared" si="155"/>
        <v>1.1959222427187646</v>
      </c>
      <c r="V555" s="188">
        <f t="shared" si="156"/>
        <v>1.316110742295167E+16</v>
      </c>
      <c r="W555" s="323">
        <v>2.411</v>
      </c>
      <c r="X555" s="323">
        <v>1.98</v>
      </c>
      <c r="Y555" s="323">
        <v>0.71499999999999997</v>
      </c>
      <c r="Z555" s="323">
        <v>0.27</v>
      </c>
      <c r="AA555" s="323">
        <v>36.229999999999997</v>
      </c>
      <c r="AB555" s="323">
        <v>28.29</v>
      </c>
      <c r="AC555" s="323">
        <v>10.130000000000001</v>
      </c>
      <c r="AD555" s="323">
        <v>4.0599999999999996</v>
      </c>
      <c r="AE555" s="323">
        <v>0</v>
      </c>
      <c r="AF555" s="323">
        <v>0</v>
      </c>
      <c r="AG555" s="323">
        <v>0.1</v>
      </c>
      <c r="AH555" s="323">
        <v>1.42</v>
      </c>
      <c r="AI555" s="323">
        <v>0.39</v>
      </c>
      <c r="AJ555" s="323">
        <v>0.41</v>
      </c>
      <c r="AK555" s="323">
        <v>1.56</v>
      </c>
      <c r="AL555" s="323">
        <v>25.26</v>
      </c>
      <c r="AM555" s="323">
        <v>4.3967856692488969E-2</v>
      </c>
      <c r="AN555" s="323">
        <v>5.6436143896667117E-2</v>
      </c>
      <c r="AO555" s="323">
        <v>7.8550892829905586E-2</v>
      </c>
      <c r="AP555" s="323">
        <v>1.610096066165213E-2</v>
      </c>
      <c r="AQ555" s="323">
        <v>9.2927856692488986E-2</v>
      </c>
      <c r="AR555" s="323">
        <v>0.10539614389666713</v>
      </c>
      <c r="AS555" s="323">
        <v>0.13313589282990559</v>
      </c>
      <c r="AT555" s="323">
        <v>7.3822360661652126E-2</v>
      </c>
      <c r="AU555" s="190">
        <v>277313453280292.72</v>
      </c>
      <c r="AV555" s="190">
        <v>355953260657389.5</v>
      </c>
      <c r="AW555" s="190">
        <v>3963480776652464.5</v>
      </c>
      <c r="AX555" s="190">
        <v>812414038453806.63</v>
      </c>
      <c r="AY555" s="203">
        <v>14.5</v>
      </c>
      <c r="AZ555" s="239">
        <v>334</v>
      </c>
      <c r="BA555" s="203">
        <v>2016</v>
      </c>
      <c r="BB555" s="204">
        <v>43062</v>
      </c>
      <c r="BC555" s="203" t="s">
        <v>2217</v>
      </c>
    </row>
    <row r="556" spans="1:55" x14ac:dyDescent="0.2">
      <c r="A556" s="184" t="s">
        <v>2219</v>
      </c>
      <c r="B556" s="184" t="s">
        <v>2218</v>
      </c>
      <c r="C556" s="184" t="s">
        <v>934</v>
      </c>
      <c r="D556" s="185" t="s">
        <v>1043</v>
      </c>
      <c r="E556" s="184" t="s">
        <v>2220</v>
      </c>
      <c r="F556" s="184" t="s">
        <v>2206</v>
      </c>
      <c r="G556" s="186">
        <f>IF(ALECA_Input!$F$13="ICAO (3000ft)",'Aircraft Calc'!C$211,'Aircraft Calc'!G$211)</f>
        <v>0.7</v>
      </c>
      <c r="H556" s="186">
        <f>IF(ALECA_Input!$F$13="ICAO (3000ft)",'Aircraft Calc'!D$211,'Aircraft Calc'!H$211)</f>
        <v>2.2000000000000002</v>
      </c>
      <c r="I556" s="186">
        <f>IF(ALECA_Input!$F$13="ICAO (3000ft)",'Aircraft Calc'!E$211,'Aircraft Calc'!I$211)</f>
        <v>4</v>
      </c>
      <c r="J556" s="189">
        <v>1</v>
      </c>
      <c r="K556" s="187">
        <f t="shared" si="145"/>
        <v>571.47</v>
      </c>
      <c r="L556" s="187">
        <f t="shared" si="146"/>
        <v>14.988581040000001</v>
      </c>
      <c r="M556" s="187">
        <f t="shared" si="147"/>
        <v>1.8119999999999998E-3</v>
      </c>
      <c r="N556" s="187">
        <f t="shared" si="148"/>
        <v>0.40144758000000003</v>
      </c>
      <c r="O556" s="187">
        <f t="shared" si="149"/>
        <v>6.2750161270935148E-2</v>
      </c>
      <c r="P556" s="188">
        <f t="shared" si="150"/>
        <v>8.8094659232175846E+17</v>
      </c>
      <c r="Q556" s="187">
        <f t="shared" si="151"/>
        <v>16800</v>
      </c>
      <c r="R556" s="219">
        <f t="shared" si="152"/>
        <v>71.064000000000007</v>
      </c>
      <c r="S556" s="219">
        <f t="shared" si="153"/>
        <v>20.495999999999999</v>
      </c>
      <c r="T556" s="219">
        <f t="shared" si="154"/>
        <v>392.61600000000004</v>
      </c>
      <c r="U556" s="219">
        <f t="shared" si="155"/>
        <v>1.1972082696073261</v>
      </c>
      <c r="V556" s="188">
        <f t="shared" si="156"/>
        <v>1.2524555268654146E+16</v>
      </c>
      <c r="W556" s="323">
        <v>2.601</v>
      </c>
      <c r="X556" s="323">
        <v>2.129</v>
      </c>
      <c r="Y556" s="323">
        <v>0.755</v>
      </c>
      <c r="Z556" s="323">
        <v>0.28000000000000003</v>
      </c>
      <c r="AA556" s="323">
        <v>40.200000000000003</v>
      </c>
      <c r="AB556" s="323">
        <v>30.88</v>
      </c>
      <c r="AC556" s="323">
        <v>10.59</v>
      </c>
      <c r="AD556" s="323">
        <v>4.2300000000000004</v>
      </c>
      <c r="AE556" s="323">
        <v>0</v>
      </c>
      <c r="AF556" s="323">
        <v>0</v>
      </c>
      <c r="AG556" s="323">
        <v>0.01</v>
      </c>
      <c r="AH556" s="323">
        <v>1.22</v>
      </c>
      <c r="AI556" s="323">
        <v>0.39</v>
      </c>
      <c r="AJ556" s="323">
        <v>0.4</v>
      </c>
      <c r="AK556" s="323">
        <v>1.36</v>
      </c>
      <c r="AL556" s="323">
        <v>23.37</v>
      </c>
      <c r="AM556" s="323">
        <v>4.2003941536421757E-2</v>
      </c>
      <c r="AN556" s="323">
        <v>5.3659566241226329E-2</v>
      </c>
      <c r="AO556" s="323">
        <v>8.2784933266964705E-2</v>
      </c>
      <c r="AP556" s="323">
        <v>1.4774997000436087E-2</v>
      </c>
      <c r="AQ556" s="323">
        <v>9.0963941536421761E-2</v>
      </c>
      <c r="AR556" s="323">
        <v>0.10261956624122633</v>
      </c>
      <c r="AS556" s="323">
        <v>0.1323074332669647</v>
      </c>
      <c r="AT556" s="323">
        <v>7.1262397000436073E-2</v>
      </c>
      <c r="AU556" s="190">
        <v>264926674964315.78</v>
      </c>
      <c r="AV556" s="190">
        <v>338440868745351.69</v>
      </c>
      <c r="AW556" s="190">
        <v>4177119823584647.5</v>
      </c>
      <c r="AX556" s="190">
        <v>745509242181794.38</v>
      </c>
      <c r="AY556" s="203">
        <v>16.8</v>
      </c>
      <c r="AZ556" s="239">
        <v>355.2</v>
      </c>
      <c r="BA556" s="203">
        <v>2016</v>
      </c>
      <c r="BB556" s="204">
        <v>43062</v>
      </c>
      <c r="BC556" s="203" t="s">
        <v>2217</v>
      </c>
    </row>
    <row r="557" spans="1:55" x14ac:dyDescent="0.2">
      <c r="A557" s="184" t="s">
        <v>2222</v>
      </c>
      <c r="B557" s="184" t="s">
        <v>2221</v>
      </c>
      <c r="C557" s="184" t="s">
        <v>934</v>
      </c>
      <c r="D557" s="185" t="s">
        <v>1043</v>
      </c>
      <c r="E557" s="184" t="s">
        <v>2223</v>
      </c>
      <c r="F557" s="184" t="s">
        <v>2210</v>
      </c>
      <c r="G557" s="186">
        <f>IF(ALECA_Input!$F$13="ICAO (3000ft)",'Aircraft Calc'!C$211,'Aircraft Calc'!G$211)</f>
        <v>0.7</v>
      </c>
      <c r="H557" s="186">
        <f>IF(ALECA_Input!$F$13="ICAO (3000ft)",'Aircraft Calc'!D$211,'Aircraft Calc'!H$211)</f>
        <v>2.2000000000000002</v>
      </c>
      <c r="I557" s="186">
        <f>IF(ALECA_Input!$F$13="ICAO (3000ft)",'Aircraft Calc'!E$211,'Aircraft Calc'!I$211)</f>
        <v>4</v>
      </c>
      <c r="J557" s="189">
        <v>1</v>
      </c>
      <c r="K557" s="187">
        <f t="shared" si="145"/>
        <v>571.47</v>
      </c>
      <c r="L557" s="187">
        <f t="shared" si="146"/>
        <v>14.988581040000001</v>
      </c>
      <c r="M557" s="187">
        <f t="shared" si="147"/>
        <v>1.8119999999999998E-3</v>
      </c>
      <c r="N557" s="187">
        <f t="shared" si="148"/>
        <v>0.40144758000000003</v>
      </c>
      <c r="O557" s="187">
        <f t="shared" si="149"/>
        <v>6.2750161270935148E-2</v>
      </c>
      <c r="P557" s="188">
        <f t="shared" si="150"/>
        <v>8.8094659232175846E+17</v>
      </c>
      <c r="Q557" s="187">
        <f t="shared" si="151"/>
        <v>16800</v>
      </c>
      <c r="R557" s="219">
        <f t="shared" si="152"/>
        <v>71.064000000000007</v>
      </c>
      <c r="S557" s="219">
        <f t="shared" si="153"/>
        <v>20.495999999999999</v>
      </c>
      <c r="T557" s="219">
        <f t="shared" si="154"/>
        <v>392.61600000000004</v>
      </c>
      <c r="U557" s="219">
        <f t="shared" si="155"/>
        <v>1.1972082696073261</v>
      </c>
      <c r="V557" s="188">
        <f t="shared" si="156"/>
        <v>1.2524555268654146E+16</v>
      </c>
      <c r="W557" s="323">
        <v>2.601</v>
      </c>
      <c r="X557" s="323">
        <v>2.129</v>
      </c>
      <c r="Y557" s="323">
        <v>0.755</v>
      </c>
      <c r="Z557" s="323">
        <v>0.28000000000000003</v>
      </c>
      <c r="AA557" s="323">
        <v>40.200000000000003</v>
      </c>
      <c r="AB557" s="323">
        <v>30.88</v>
      </c>
      <c r="AC557" s="323">
        <v>10.59</v>
      </c>
      <c r="AD557" s="323">
        <v>4.2300000000000004</v>
      </c>
      <c r="AE557" s="323">
        <v>0</v>
      </c>
      <c r="AF557" s="323">
        <v>0</v>
      </c>
      <c r="AG557" s="323">
        <v>0.01</v>
      </c>
      <c r="AH557" s="323">
        <v>1.22</v>
      </c>
      <c r="AI557" s="323">
        <v>0.39</v>
      </c>
      <c r="AJ557" s="323">
        <v>0.4</v>
      </c>
      <c r="AK557" s="323">
        <v>1.36</v>
      </c>
      <c r="AL557" s="323">
        <v>23.37</v>
      </c>
      <c r="AM557" s="323">
        <v>4.2003941536421757E-2</v>
      </c>
      <c r="AN557" s="323">
        <v>5.3659566241226329E-2</v>
      </c>
      <c r="AO557" s="323">
        <v>8.2784933266964705E-2</v>
      </c>
      <c r="AP557" s="323">
        <v>1.4774997000436087E-2</v>
      </c>
      <c r="AQ557" s="323">
        <v>9.0963941536421761E-2</v>
      </c>
      <c r="AR557" s="323">
        <v>0.10261956624122633</v>
      </c>
      <c r="AS557" s="323">
        <v>0.1323074332669647</v>
      </c>
      <c r="AT557" s="323">
        <v>7.1262397000436073E-2</v>
      </c>
      <c r="AU557" s="190">
        <v>264926674964315.78</v>
      </c>
      <c r="AV557" s="190">
        <v>338440868745351.69</v>
      </c>
      <c r="AW557" s="190">
        <v>4177119823584647.5</v>
      </c>
      <c r="AX557" s="190">
        <v>745509242181794.38</v>
      </c>
      <c r="AY557" s="203">
        <v>16.8</v>
      </c>
      <c r="AZ557" s="239">
        <v>355.2</v>
      </c>
      <c r="BA557" s="203">
        <v>2014</v>
      </c>
      <c r="BB557" s="204">
        <v>43062</v>
      </c>
      <c r="BC557" s="203" t="s">
        <v>2217</v>
      </c>
    </row>
    <row r="558" spans="1:55" x14ac:dyDescent="0.2">
      <c r="A558" s="184" t="s">
        <v>3664</v>
      </c>
      <c r="B558" s="184" t="s">
        <v>2224</v>
      </c>
      <c r="C558" s="184" t="s">
        <v>934</v>
      </c>
      <c r="D558" s="185" t="s">
        <v>1043</v>
      </c>
      <c r="E558" s="184" t="s">
        <v>2225</v>
      </c>
      <c r="F558" s="184" t="s">
        <v>404</v>
      </c>
      <c r="G558" s="186">
        <f>IF(ALECA_Input!$F$13="ICAO (3000ft)",'Aircraft Calc'!C$211,'Aircraft Calc'!G$211)</f>
        <v>0.7</v>
      </c>
      <c r="H558" s="186">
        <f>IF(ALECA_Input!$F$13="ICAO (3000ft)",'Aircraft Calc'!D$211,'Aircraft Calc'!H$211)</f>
        <v>2.2000000000000002</v>
      </c>
      <c r="I558" s="186">
        <f>IF(ALECA_Input!$F$13="ICAO (3000ft)",'Aircraft Calc'!E$211,'Aircraft Calc'!I$211)</f>
        <v>4</v>
      </c>
      <c r="J558" s="189">
        <v>1</v>
      </c>
      <c r="K558" s="187">
        <f t="shared" si="145"/>
        <v>615.03000000000009</v>
      </c>
      <c r="L558" s="187">
        <f t="shared" si="146"/>
        <v>17.904240720000001</v>
      </c>
      <c r="M558" s="187">
        <f t="shared" si="147"/>
        <v>1.9224000000000001E-3</v>
      </c>
      <c r="N558" s="187">
        <f t="shared" si="148"/>
        <v>0.39173130000000006</v>
      </c>
      <c r="O558" s="187">
        <f t="shared" si="149"/>
        <v>6.4439799394065397E-2</v>
      </c>
      <c r="P558" s="188">
        <f t="shared" si="150"/>
        <v>1.0926122845699779E+18</v>
      </c>
      <c r="Q558" s="187">
        <f t="shared" si="151"/>
        <v>17459.999999999996</v>
      </c>
      <c r="R558" s="219">
        <f t="shared" si="152"/>
        <v>76.998599999999996</v>
      </c>
      <c r="S558" s="219">
        <f t="shared" si="153"/>
        <v>17.983799999999999</v>
      </c>
      <c r="T558" s="219">
        <f t="shared" si="154"/>
        <v>374.69159999999994</v>
      </c>
      <c r="U558" s="219">
        <f t="shared" si="155"/>
        <v>1.2175281541471596</v>
      </c>
      <c r="V558" s="188">
        <f t="shared" si="156"/>
        <v>1.4265194118071478E+16</v>
      </c>
      <c r="W558" s="323">
        <v>2.819</v>
      </c>
      <c r="X558" s="323">
        <v>2.306</v>
      </c>
      <c r="Y558" s="323">
        <v>0.80100000000000005</v>
      </c>
      <c r="Z558" s="323">
        <v>0.29099999999999998</v>
      </c>
      <c r="AA558" s="323">
        <v>45.24</v>
      </c>
      <c r="AB558" s="323">
        <v>34.200000000000003</v>
      </c>
      <c r="AC558" s="323">
        <v>11.12</v>
      </c>
      <c r="AD558" s="323">
        <v>4.41</v>
      </c>
      <c r="AE558" s="323">
        <v>0</v>
      </c>
      <c r="AF558" s="323">
        <v>0</v>
      </c>
      <c r="AG558" s="323">
        <v>0.01</v>
      </c>
      <c r="AH558" s="323">
        <v>1.03</v>
      </c>
      <c r="AI558" s="323">
        <v>0.39</v>
      </c>
      <c r="AJ558" s="323">
        <v>0.39</v>
      </c>
      <c r="AK558" s="323">
        <v>1.18</v>
      </c>
      <c r="AL558" s="323">
        <v>21.46</v>
      </c>
      <c r="AM558" s="323">
        <v>3.3265137037489283E-2</v>
      </c>
      <c r="AN558" s="323">
        <v>4.406684728871621E-2</v>
      </c>
      <c r="AO558" s="323">
        <v>8.7742790882198454E-2</v>
      </c>
      <c r="AP558" s="323">
        <v>1.4417325781624277E-2</v>
      </c>
      <c r="AQ558" s="323">
        <v>8.2225137037489279E-2</v>
      </c>
      <c r="AR558" s="323">
        <v>9.3026847288716213E-2</v>
      </c>
      <c r="AS558" s="323">
        <v>0.13726529088219847</v>
      </c>
      <c r="AT558" s="323">
        <v>6.973242578162428E-2</v>
      </c>
      <c r="AU558" s="190">
        <v>218814686627910.59</v>
      </c>
      <c r="AV558" s="190">
        <v>364082590027216.56</v>
      </c>
      <c r="AW558" s="190">
        <v>4972332686012494</v>
      </c>
      <c r="AX558" s="190">
        <v>817021427151860.25</v>
      </c>
      <c r="AY558" s="203">
        <v>19.899999999999999</v>
      </c>
      <c r="AZ558" s="239">
        <v>379</v>
      </c>
      <c r="BA558" s="203">
        <v>2014</v>
      </c>
      <c r="BB558" s="204">
        <v>43062</v>
      </c>
      <c r="BC558" s="203" t="s">
        <v>2217</v>
      </c>
    </row>
    <row r="559" spans="1:55" x14ac:dyDescent="0.2">
      <c r="A559" s="184" t="s">
        <v>2227</v>
      </c>
      <c r="B559" s="184" t="s">
        <v>2226</v>
      </c>
      <c r="C559" s="184" t="s">
        <v>934</v>
      </c>
      <c r="D559" s="185" t="s">
        <v>1043</v>
      </c>
      <c r="E559" s="184" t="s">
        <v>2228</v>
      </c>
      <c r="F559" s="184" t="s">
        <v>2228</v>
      </c>
      <c r="G559" s="186">
        <f>IF(ALECA_Input!$F$13="ICAO (3000ft)",'Aircraft Calc'!C$211,'Aircraft Calc'!G$211)</f>
        <v>0.7</v>
      </c>
      <c r="H559" s="186">
        <f>IF(ALECA_Input!$F$13="ICAO (3000ft)",'Aircraft Calc'!D$211,'Aircraft Calc'!H$211)</f>
        <v>2.2000000000000002</v>
      </c>
      <c r="I559" s="186">
        <f>IF(ALECA_Input!$F$13="ICAO (3000ft)",'Aircraft Calc'!E$211,'Aircraft Calc'!I$211)</f>
        <v>4</v>
      </c>
      <c r="J559" s="189">
        <v>1</v>
      </c>
      <c r="K559" s="187">
        <f t="shared" si="145"/>
        <v>735.23400000000015</v>
      </c>
      <c r="L559" s="187">
        <f t="shared" si="146"/>
        <v>26.018204940000004</v>
      </c>
      <c r="M559" s="187">
        <f t="shared" si="147"/>
        <v>0</v>
      </c>
      <c r="N559" s="187">
        <f t="shared" si="148"/>
        <v>0.43709160000000008</v>
      </c>
      <c r="O559" s="187">
        <f t="shared" si="149"/>
        <v>8.574971479319958E-2</v>
      </c>
      <c r="P559" s="188">
        <f t="shared" si="150"/>
        <v>1.093636288188448E+18</v>
      </c>
      <c r="Q559" s="187">
        <f t="shared" si="151"/>
        <v>19500</v>
      </c>
      <c r="R559" s="219">
        <f t="shared" si="152"/>
        <v>93.794999999999987</v>
      </c>
      <c r="S559" s="219">
        <f t="shared" si="153"/>
        <v>17.355</v>
      </c>
      <c r="T559" s="219">
        <f t="shared" si="154"/>
        <v>372.255</v>
      </c>
      <c r="U559" s="219">
        <f t="shared" si="155"/>
        <v>1.2828177408369839</v>
      </c>
      <c r="V559" s="188">
        <f t="shared" si="156"/>
        <v>1.1151982470589598E+16</v>
      </c>
      <c r="W559" s="323">
        <v>3.5070000000000001</v>
      </c>
      <c r="X559" s="323">
        <v>2.8050000000000002</v>
      </c>
      <c r="Y559" s="323">
        <v>0.90700000000000003</v>
      </c>
      <c r="Z559" s="323">
        <v>0.32500000000000001</v>
      </c>
      <c r="AA559" s="323">
        <v>56.91</v>
      </c>
      <c r="AB559" s="323">
        <v>40.17</v>
      </c>
      <c r="AC559" s="323">
        <v>12.69</v>
      </c>
      <c r="AD559" s="323">
        <v>4.8099999999999996</v>
      </c>
      <c r="AE559" s="323">
        <v>0</v>
      </c>
      <c r="AF559" s="323">
        <v>0</v>
      </c>
      <c r="AG559" s="323">
        <v>0</v>
      </c>
      <c r="AH559" s="323">
        <v>0.89</v>
      </c>
      <c r="AI559" s="323">
        <v>0.5</v>
      </c>
      <c r="AJ559" s="323">
        <v>0.67</v>
      </c>
      <c r="AK559" s="323">
        <v>0.53</v>
      </c>
      <c r="AL559" s="323">
        <v>19.09</v>
      </c>
      <c r="AM559" s="323">
        <v>6.3239730743070335E-2</v>
      </c>
      <c r="AN559" s="323">
        <v>6.15097329129091E-2</v>
      </c>
      <c r="AO559" s="323">
        <v>8.1143107059886324E-2</v>
      </c>
      <c r="AP559" s="323">
        <v>1.1334225171127367E-2</v>
      </c>
      <c r="AQ559" s="323">
        <v>0.11219973074307033</v>
      </c>
      <c r="AR559" s="323">
        <v>0.1104697329129091</v>
      </c>
      <c r="AS559" s="323">
        <v>0.13010310705988631</v>
      </c>
      <c r="AT559" s="323">
        <v>6.5785525171127374E-2</v>
      </c>
      <c r="AU559" s="190">
        <v>398864748844412.44</v>
      </c>
      <c r="AV559" s="190">
        <v>387953330628036.63</v>
      </c>
      <c r="AW559" s="190">
        <v>4094277396517008</v>
      </c>
      <c r="AX559" s="190">
        <v>571896536953312.75</v>
      </c>
      <c r="AY559" s="203">
        <v>28.5</v>
      </c>
      <c r="AZ559" s="239">
        <v>436.7</v>
      </c>
      <c r="BA559" s="203">
        <v>2016</v>
      </c>
      <c r="BB559" s="204">
        <v>43062</v>
      </c>
      <c r="BC559" s="203" t="s">
        <v>716</v>
      </c>
    </row>
    <row r="560" spans="1:55" x14ac:dyDescent="0.2">
      <c r="A560" s="184" t="s">
        <v>2230</v>
      </c>
      <c r="B560" s="184" t="s">
        <v>2229</v>
      </c>
      <c r="C560" s="184" t="s">
        <v>934</v>
      </c>
      <c r="D560" s="185" t="s">
        <v>1043</v>
      </c>
      <c r="E560" s="184" t="s">
        <v>2231</v>
      </c>
      <c r="F560" s="184" t="s">
        <v>2232</v>
      </c>
      <c r="G560" s="186">
        <f>IF(ALECA_Input!$F$13="ICAO (3000ft)",'Aircraft Calc'!C$211,'Aircraft Calc'!G$211)</f>
        <v>0.7</v>
      </c>
      <c r="H560" s="186">
        <f>IF(ALECA_Input!$F$13="ICAO (3000ft)",'Aircraft Calc'!D$211,'Aircraft Calc'!H$211)</f>
        <v>2.2000000000000002</v>
      </c>
      <c r="I560" s="186">
        <f>IF(ALECA_Input!$F$13="ICAO (3000ft)",'Aircraft Calc'!E$211,'Aircraft Calc'!I$211)</f>
        <v>4</v>
      </c>
      <c r="J560" s="189">
        <v>1</v>
      </c>
      <c r="K560" s="187">
        <f t="shared" si="145"/>
        <v>566.93399999999997</v>
      </c>
      <c r="L560" s="187">
        <f t="shared" si="146"/>
        <v>14.64519408</v>
      </c>
      <c r="M560" s="187">
        <f t="shared" si="147"/>
        <v>5.0179080000000001E-2</v>
      </c>
      <c r="N560" s="187">
        <f t="shared" si="148"/>
        <v>0.32372363999999998</v>
      </c>
      <c r="O560" s="187">
        <f t="shared" si="149"/>
        <v>5.6293034413612178E-2</v>
      </c>
      <c r="P560" s="188">
        <f t="shared" si="150"/>
        <v>4.0896137395982413E+17</v>
      </c>
      <c r="Q560" s="187">
        <f t="shared" si="151"/>
        <v>15300</v>
      </c>
      <c r="R560" s="219">
        <f t="shared" si="152"/>
        <v>83.232000000000014</v>
      </c>
      <c r="S560" s="219">
        <f t="shared" si="153"/>
        <v>0.61199999999999999</v>
      </c>
      <c r="T560" s="219">
        <f t="shared" si="154"/>
        <v>204.71400000000003</v>
      </c>
      <c r="U560" s="219">
        <f t="shared" si="155"/>
        <v>0.84275261902657006</v>
      </c>
      <c r="V560" s="188">
        <f t="shared" si="156"/>
        <v>4535551948262232</v>
      </c>
      <c r="W560" s="323">
        <v>2.605</v>
      </c>
      <c r="X560" s="323">
        <v>2.157</v>
      </c>
      <c r="Y560" s="323">
        <v>0.72</v>
      </c>
      <c r="Z560" s="323">
        <v>0.255</v>
      </c>
      <c r="AA560" s="323">
        <v>38.200000000000003</v>
      </c>
      <c r="AB560" s="323">
        <v>29.42</v>
      </c>
      <c r="AC560" s="323">
        <v>12.09</v>
      </c>
      <c r="AD560" s="323">
        <v>5.44</v>
      </c>
      <c r="AE560" s="323">
        <v>0.02</v>
      </c>
      <c r="AF560" s="323">
        <v>0.12</v>
      </c>
      <c r="AG560" s="323">
        <v>0.08</v>
      </c>
      <c r="AH560" s="323">
        <v>0.04</v>
      </c>
      <c r="AI560" s="323">
        <v>0.32</v>
      </c>
      <c r="AJ560" s="323">
        <v>0.31</v>
      </c>
      <c r="AK560" s="323">
        <v>1.1599999999999999</v>
      </c>
      <c r="AL560" s="323">
        <v>13.38</v>
      </c>
      <c r="AM560" s="323">
        <v>4.3495117184964426E-2</v>
      </c>
      <c r="AN560" s="323">
        <v>5.0739869418017815E-2</v>
      </c>
      <c r="AO560" s="323">
        <v>3.3011345730494836E-2</v>
      </c>
      <c r="AP560" s="323">
        <v>5.8750705246124165E-3</v>
      </c>
      <c r="AQ560" s="323">
        <v>9.4755117184964432E-2</v>
      </c>
      <c r="AR560" s="323">
        <v>0.10881986941801783</v>
      </c>
      <c r="AS560" s="323">
        <v>8.6471345730494836E-2</v>
      </c>
      <c r="AT560" s="323">
        <v>5.5081870524612421E-2</v>
      </c>
      <c r="AU560" s="190">
        <v>274331797243462.31</v>
      </c>
      <c r="AV560" s="190">
        <v>320025797611948.69</v>
      </c>
      <c r="AW560" s="190">
        <v>1665669599676808.3</v>
      </c>
      <c r="AX560" s="190">
        <v>296441303807989</v>
      </c>
      <c r="AY560" s="203">
        <v>16.8</v>
      </c>
      <c r="AZ560" s="239">
        <v>338.7</v>
      </c>
      <c r="BA560" s="203">
        <v>2016</v>
      </c>
      <c r="BB560" s="204">
        <v>43062</v>
      </c>
      <c r="BC560" s="203" t="s">
        <v>2217</v>
      </c>
    </row>
    <row r="561" spans="1:55" x14ac:dyDescent="0.2">
      <c r="A561" s="184" t="s">
        <v>2234</v>
      </c>
      <c r="B561" s="184" t="s">
        <v>2233</v>
      </c>
      <c r="C561" s="184" t="s">
        <v>934</v>
      </c>
      <c r="D561" s="185" t="s">
        <v>1043</v>
      </c>
      <c r="E561" s="184" t="s">
        <v>2235</v>
      </c>
      <c r="F561" s="184" t="s">
        <v>2235</v>
      </c>
      <c r="G561" s="186">
        <f>IF(ALECA_Input!$F$13="ICAO (3000ft)",'Aircraft Calc'!C$211,'Aircraft Calc'!G$211)</f>
        <v>0.7</v>
      </c>
      <c r="H561" s="186">
        <f>IF(ALECA_Input!$F$13="ICAO (3000ft)",'Aircraft Calc'!D$211,'Aircraft Calc'!H$211)</f>
        <v>2.2000000000000002</v>
      </c>
      <c r="I561" s="186">
        <f>IF(ALECA_Input!$F$13="ICAO (3000ft)",'Aircraft Calc'!E$211,'Aircraft Calc'!I$211)</f>
        <v>4</v>
      </c>
      <c r="J561" s="189">
        <v>1</v>
      </c>
      <c r="K561" s="187">
        <f t="shared" si="145"/>
        <v>593.34</v>
      </c>
      <c r="L561" s="187">
        <f t="shared" si="146"/>
        <v>16.323245040000003</v>
      </c>
      <c r="M561" s="187">
        <f t="shared" si="147"/>
        <v>3.9455760000000006E-2</v>
      </c>
      <c r="N561" s="187">
        <f t="shared" si="148"/>
        <v>0.31925772000000002</v>
      </c>
      <c r="O561" s="187">
        <f t="shared" si="149"/>
        <v>5.8809407332368946E-2</v>
      </c>
      <c r="P561" s="188">
        <f t="shared" si="150"/>
        <v>4.7987163182347392E+17</v>
      </c>
      <c r="Q561" s="187">
        <f t="shared" si="151"/>
        <v>15660</v>
      </c>
      <c r="R561" s="219">
        <f t="shared" si="152"/>
        <v>87.226200000000006</v>
      </c>
      <c r="S561" s="219">
        <f t="shared" si="153"/>
        <v>0.62640000000000007</v>
      </c>
      <c r="T561" s="219">
        <f t="shared" si="154"/>
        <v>198.09900000000002</v>
      </c>
      <c r="U561" s="219">
        <f t="shared" si="155"/>
        <v>0.86258209241543049</v>
      </c>
      <c r="V561" s="188">
        <f t="shared" si="156"/>
        <v>4642270817633108</v>
      </c>
      <c r="W561" s="323">
        <v>2.738</v>
      </c>
      <c r="X561" s="323">
        <v>2.262</v>
      </c>
      <c r="Y561" s="323">
        <v>0.749</v>
      </c>
      <c r="Z561" s="323">
        <v>0.26100000000000001</v>
      </c>
      <c r="AA561" s="323">
        <v>41.34</v>
      </c>
      <c r="AB561" s="323">
        <v>31.3</v>
      </c>
      <c r="AC561" s="323">
        <v>12.37</v>
      </c>
      <c r="AD561" s="323">
        <v>5.57</v>
      </c>
      <c r="AE561" s="323">
        <v>0</v>
      </c>
      <c r="AF561" s="323">
        <v>0.09</v>
      </c>
      <c r="AG561" s="323">
        <v>7.0000000000000007E-2</v>
      </c>
      <c r="AH561" s="323">
        <v>0.04</v>
      </c>
      <c r="AI561" s="323">
        <v>0.33</v>
      </c>
      <c r="AJ561" s="323">
        <v>0.31</v>
      </c>
      <c r="AK561" s="323">
        <v>1.05</v>
      </c>
      <c r="AL561" s="323">
        <v>12.65</v>
      </c>
      <c r="AM561" s="323">
        <v>4.3495117184964426E-2</v>
      </c>
      <c r="AN561" s="323">
        <v>5.0227178643912455E-2</v>
      </c>
      <c r="AO561" s="323">
        <v>3.8999582600983601E-2</v>
      </c>
      <c r="AP561" s="323">
        <v>5.8750705246124165E-3</v>
      </c>
      <c r="AQ561" s="323">
        <v>9.2455117184964436E-2</v>
      </c>
      <c r="AR561" s="323">
        <v>0.10602717864391245</v>
      </c>
      <c r="AS561" s="323">
        <v>9.1897082600983601E-2</v>
      </c>
      <c r="AT561" s="323">
        <v>5.5081870524612421E-2</v>
      </c>
      <c r="AU561" s="190">
        <v>274331797243462.31</v>
      </c>
      <c r="AV561" s="190">
        <v>316792161503041.13</v>
      </c>
      <c r="AW561" s="190">
        <v>1967820993087676.3</v>
      </c>
      <c r="AX561" s="190">
        <v>296441303807989</v>
      </c>
      <c r="AY561" s="203">
        <v>18.600000000000001</v>
      </c>
      <c r="AZ561" s="239">
        <v>352.9</v>
      </c>
      <c r="BA561" s="203">
        <v>2016</v>
      </c>
      <c r="BB561" s="204">
        <v>43062</v>
      </c>
      <c r="BC561" s="203" t="s">
        <v>716</v>
      </c>
    </row>
    <row r="562" spans="1:55" x14ac:dyDescent="0.2">
      <c r="A562" s="184" t="s">
        <v>2237</v>
      </c>
      <c r="B562" s="184" t="s">
        <v>2236</v>
      </c>
      <c r="C562" s="184" t="s">
        <v>934</v>
      </c>
      <c r="D562" s="185" t="s">
        <v>1043</v>
      </c>
      <c r="E562" s="184" t="s">
        <v>2238</v>
      </c>
      <c r="F562" s="184" t="s">
        <v>2239</v>
      </c>
      <c r="G562" s="186">
        <f>IF(ALECA_Input!$F$13="ICAO (3000ft)",'Aircraft Calc'!C$211,'Aircraft Calc'!G$211)</f>
        <v>0.7</v>
      </c>
      <c r="H562" s="186">
        <f>IF(ALECA_Input!$F$13="ICAO (3000ft)",'Aircraft Calc'!D$211,'Aircraft Calc'!H$211)</f>
        <v>2.2000000000000002</v>
      </c>
      <c r="I562" s="186">
        <f>IF(ALECA_Input!$F$13="ICAO (3000ft)",'Aircraft Calc'!E$211,'Aircraft Calc'!I$211)</f>
        <v>4</v>
      </c>
      <c r="J562" s="189">
        <v>1</v>
      </c>
      <c r="K562" s="187">
        <f t="shared" si="145"/>
        <v>580.34400000000005</v>
      </c>
      <c r="L562" s="187">
        <f t="shared" si="146"/>
        <v>15.478261920000001</v>
      </c>
      <c r="M562" s="187">
        <f t="shared" si="147"/>
        <v>4.555944E-2</v>
      </c>
      <c r="N562" s="187">
        <f t="shared" si="148"/>
        <v>0.32038488000000009</v>
      </c>
      <c r="O562" s="187">
        <f t="shared" si="149"/>
        <v>5.7883792242290531E-2</v>
      </c>
      <c r="P562" s="188">
        <f t="shared" si="150"/>
        <v>4.5336488957642758E+17</v>
      </c>
      <c r="Q562" s="187">
        <f t="shared" si="151"/>
        <v>15480</v>
      </c>
      <c r="R562" s="219">
        <f t="shared" si="152"/>
        <v>85.294799999999995</v>
      </c>
      <c r="S562" s="219">
        <f t="shared" si="153"/>
        <v>0.61920000000000008</v>
      </c>
      <c r="T562" s="219">
        <f t="shared" si="154"/>
        <v>201.24</v>
      </c>
      <c r="U562" s="219">
        <f t="shared" si="155"/>
        <v>0.85266735572100028</v>
      </c>
      <c r="V562" s="188">
        <f t="shared" si="156"/>
        <v>4588911382947670</v>
      </c>
      <c r="W562" s="323">
        <v>2.6720000000000002</v>
      </c>
      <c r="X562" s="323">
        <v>2.21</v>
      </c>
      <c r="Y562" s="323">
        <v>0.73499999999999999</v>
      </c>
      <c r="Z562" s="323">
        <v>0.25800000000000001</v>
      </c>
      <c r="AA562" s="323">
        <v>39.78</v>
      </c>
      <c r="AB562" s="323">
        <v>30.36</v>
      </c>
      <c r="AC562" s="323">
        <v>12.23</v>
      </c>
      <c r="AD562" s="323">
        <v>5.51</v>
      </c>
      <c r="AE562" s="323">
        <v>0.01</v>
      </c>
      <c r="AF562" s="323">
        <v>0.11</v>
      </c>
      <c r="AG562" s="323">
        <v>7.0000000000000007E-2</v>
      </c>
      <c r="AH562" s="323">
        <v>0.04</v>
      </c>
      <c r="AI562" s="323">
        <v>0.32</v>
      </c>
      <c r="AJ562" s="323">
        <v>0.31</v>
      </c>
      <c r="AK562" s="323">
        <v>1.1000000000000001</v>
      </c>
      <c r="AL562" s="323">
        <v>13</v>
      </c>
      <c r="AM562" s="323">
        <v>4.3495117184964426E-2</v>
      </c>
      <c r="AN562" s="323">
        <v>5.0739869418017815E-2</v>
      </c>
      <c r="AO562" s="323">
        <v>3.6988137554993888E-2</v>
      </c>
      <c r="AP562" s="323">
        <v>5.8750705246124165E-3</v>
      </c>
      <c r="AQ562" s="323">
        <v>9.360511718496442E-2</v>
      </c>
      <c r="AR562" s="323">
        <v>0.10805986941801782</v>
      </c>
      <c r="AS562" s="323">
        <v>8.9885637554993902E-2</v>
      </c>
      <c r="AT562" s="323">
        <v>5.5081870524612421E-2</v>
      </c>
      <c r="AU562" s="190">
        <v>274331797243462.31</v>
      </c>
      <c r="AV562" s="190">
        <v>320025797611948.69</v>
      </c>
      <c r="AW562" s="190">
        <v>1866328527682650.5</v>
      </c>
      <c r="AX562" s="190">
        <v>296441303807989</v>
      </c>
      <c r="AY562" s="203">
        <v>17.7</v>
      </c>
      <c r="AZ562" s="239">
        <v>345.9</v>
      </c>
      <c r="BA562" s="203">
        <v>2016</v>
      </c>
      <c r="BB562" s="204">
        <v>43062</v>
      </c>
      <c r="BC562" s="203" t="s">
        <v>2217</v>
      </c>
    </row>
    <row r="563" spans="1:55" x14ac:dyDescent="0.2">
      <c r="A563" s="184" t="s">
        <v>2241</v>
      </c>
      <c r="B563" s="184" t="s">
        <v>2240</v>
      </c>
      <c r="C563" s="184" t="s">
        <v>934</v>
      </c>
      <c r="D563" s="185" t="s">
        <v>1043</v>
      </c>
      <c r="E563" s="184" t="s">
        <v>2242</v>
      </c>
      <c r="F563" s="184" t="s">
        <v>2243</v>
      </c>
      <c r="G563" s="186">
        <f>IF(ALECA_Input!$F$13="ICAO (3000ft)",'Aircraft Calc'!C$211,'Aircraft Calc'!G$211)</f>
        <v>0.7</v>
      </c>
      <c r="H563" s="186">
        <f>IF(ALECA_Input!$F$13="ICAO (3000ft)",'Aircraft Calc'!D$211,'Aircraft Calc'!H$211)</f>
        <v>2.2000000000000002</v>
      </c>
      <c r="I563" s="186">
        <f>IF(ALECA_Input!$F$13="ICAO (3000ft)",'Aircraft Calc'!E$211,'Aircraft Calc'!I$211)</f>
        <v>4</v>
      </c>
      <c r="J563" s="189">
        <v>1</v>
      </c>
      <c r="K563" s="187">
        <f t="shared" si="145"/>
        <v>580.34400000000005</v>
      </c>
      <c r="L563" s="187">
        <f t="shared" si="146"/>
        <v>15.478261920000001</v>
      </c>
      <c r="M563" s="187">
        <f t="shared" si="147"/>
        <v>4.555944E-2</v>
      </c>
      <c r="N563" s="187">
        <f t="shared" si="148"/>
        <v>0.32038488000000009</v>
      </c>
      <c r="O563" s="187">
        <f t="shared" si="149"/>
        <v>5.7883792242290531E-2</v>
      </c>
      <c r="P563" s="188">
        <f t="shared" si="150"/>
        <v>4.5336488957642758E+17</v>
      </c>
      <c r="Q563" s="187">
        <f t="shared" si="151"/>
        <v>15480</v>
      </c>
      <c r="R563" s="219">
        <f t="shared" si="152"/>
        <v>85.294799999999995</v>
      </c>
      <c r="S563" s="219">
        <f t="shared" si="153"/>
        <v>0.61920000000000008</v>
      </c>
      <c r="T563" s="219">
        <f t="shared" si="154"/>
        <v>201.24</v>
      </c>
      <c r="U563" s="219">
        <f t="shared" si="155"/>
        <v>0.85266735572100028</v>
      </c>
      <c r="V563" s="188">
        <f t="shared" si="156"/>
        <v>4588911382947670</v>
      </c>
      <c r="W563" s="323">
        <v>2.6720000000000002</v>
      </c>
      <c r="X563" s="323">
        <v>2.21</v>
      </c>
      <c r="Y563" s="323">
        <v>0.73499999999999999</v>
      </c>
      <c r="Z563" s="323">
        <v>0.25800000000000001</v>
      </c>
      <c r="AA563" s="323">
        <v>39.78</v>
      </c>
      <c r="AB563" s="323">
        <v>30.36</v>
      </c>
      <c r="AC563" s="323">
        <v>12.23</v>
      </c>
      <c r="AD563" s="323">
        <v>5.51</v>
      </c>
      <c r="AE563" s="323">
        <v>0.01</v>
      </c>
      <c r="AF563" s="323">
        <v>0.11</v>
      </c>
      <c r="AG563" s="323">
        <v>7.0000000000000007E-2</v>
      </c>
      <c r="AH563" s="323">
        <v>0.04</v>
      </c>
      <c r="AI563" s="323">
        <v>0.32</v>
      </c>
      <c r="AJ563" s="323">
        <v>0.31</v>
      </c>
      <c r="AK563" s="323">
        <v>1.1000000000000001</v>
      </c>
      <c r="AL563" s="323">
        <v>13</v>
      </c>
      <c r="AM563" s="323">
        <v>4.3495117184964426E-2</v>
      </c>
      <c r="AN563" s="323">
        <v>5.0739869418017815E-2</v>
      </c>
      <c r="AO563" s="323">
        <v>3.6988137554993888E-2</v>
      </c>
      <c r="AP563" s="323">
        <v>5.8750705246124165E-3</v>
      </c>
      <c r="AQ563" s="323">
        <v>9.360511718496442E-2</v>
      </c>
      <c r="AR563" s="323">
        <v>0.10805986941801782</v>
      </c>
      <c r="AS563" s="323">
        <v>8.9885637554993902E-2</v>
      </c>
      <c r="AT563" s="323">
        <v>5.5081870524612421E-2</v>
      </c>
      <c r="AU563" s="190">
        <v>274331797243462.31</v>
      </c>
      <c r="AV563" s="190">
        <v>320025797611948.69</v>
      </c>
      <c r="AW563" s="190">
        <v>1866328527682650.5</v>
      </c>
      <c r="AX563" s="190">
        <v>296441303807989</v>
      </c>
      <c r="AY563" s="203">
        <v>17.7</v>
      </c>
      <c r="AZ563" s="239">
        <v>345.9</v>
      </c>
      <c r="BA563" s="203">
        <v>2016</v>
      </c>
      <c r="BB563" s="204">
        <v>43062</v>
      </c>
      <c r="BC563" s="203" t="s">
        <v>2217</v>
      </c>
    </row>
    <row r="564" spans="1:55" x14ac:dyDescent="0.2">
      <c r="A564" s="184" t="s">
        <v>2245</v>
      </c>
      <c r="B564" s="184" t="s">
        <v>2244</v>
      </c>
      <c r="C564" s="184" t="s">
        <v>934</v>
      </c>
      <c r="D564" s="185" t="s">
        <v>1043</v>
      </c>
      <c r="E564" s="184" t="s">
        <v>2246</v>
      </c>
      <c r="F564" s="184" t="s">
        <v>2247</v>
      </c>
      <c r="G564" s="186">
        <f>IF(ALECA_Input!$F$13="ICAO (3000ft)",'Aircraft Calc'!C$211,'Aircraft Calc'!G$211)</f>
        <v>0.7</v>
      </c>
      <c r="H564" s="186">
        <f>IF(ALECA_Input!$F$13="ICAO (3000ft)",'Aircraft Calc'!D$211,'Aircraft Calc'!H$211)</f>
        <v>2.2000000000000002</v>
      </c>
      <c r="I564" s="186">
        <f>IF(ALECA_Input!$F$13="ICAO (3000ft)",'Aircraft Calc'!E$211,'Aircraft Calc'!I$211)</f>
        <v>4</v>
      </c>
      <c r="J564" s="189">
        <v>1</v>
      </c>
      <c r="K564" s="187">
        <f t="shared" si="145"/>
        <v>170.28000000000003</v>
      </c>
      <c r="L564" s="187">
        <f t="shared" si="146"/>
        <v>2.38524</v>
      </c>
      <c r="M564" s="187">
        <f t="shared" si="147"/>
        <v>0.10016400000000002</v>
      </c>
      <c r="N564" s="187">
        <f t="shared" si="148"/>
        <v>0.30415199999999998</v>
      </c>
      <c r="O564" s="187">
        <f t="shared" si="149"/>
        <v>9.5742780204114947E-2</v>
      </c>
      <c r="P564" s="188">
        <f t="shared" si="150"/>
        <v>1.2944210585573E+18</v>
      </c>
      <c r="Q564" s="187">
        <f t="shared" si="151"/>
        <v>6600</v>
      </c>
      <c r="R564" s="219">
        <f t="shared" si="152"/>
        <v>16.5</v>
      </c>
      <c r="S564" s="219">
        <f t="shared" si="153"/>
        <v>22.439999999999998</v>
      </c>
      <c r="T564" s="219">
        <f t="shared" si="154"/>
        <v>159.06</v>
      </c>
      <c r="U564" s="219">
        <f t="shared" si="155"/>
        <v>3.1964093001251062</v>
      </c>
      <c r="V564" s="188">
        <f t="shared" si="156"/>
        <v>1.3799207319452203E+17</v>
      </c>
      <c r="W564" s="323">
        <v>0.76</v>
      </c>
      <c r="X564" s="323">
        <v>0.63</v>
      </c>
      <c r="Y564" s="323">
        <v>0.23</v>
      </c>
      <c r="Z564" s="323">
        <v>0.11</v>
      </c>
      <c r="AA564" s="323">
        <v>21.1</v>
      </c>
      <c r="AB564" s="323">
        <v>16.8</v>
      </c>
      <c r="AC564" s="323">
        <v>5.7</v>
      </c>
      <c r="AD564" s="323">
        <v>2.5</v>
      </c>
      <c r="AE564" s="323">
        <v>0.8</v>
      </c>
      <c r="AF564" s="323">
        <v>0.3</v>
      </c>
      <c r="AG564" s="323">
        <v>0.9</v>
      </c>
      <c r="AH564" s="323">
        <v>3.4</v>
      </c>
      <c r="AI564" s="323">
        <v>0.70000000000000007</v>
      </c>
      <c r="AJ564" s="323">
        <v>0.8</v>
      </c>
      <c r="AK564" s="323">
        <v>3.9</v>
      </c>
      <c r="AL564" s="323">
        <v>24.1</v>
      </c>
      <c r="AM564" s="323">
        <v>0.55172377272713291</v>
      </c>
      <c r="AN564" s="323">
        <v>0.53205995614679291</v>
      </c>
      <c r="AO564" s="323">
        <v>0.32466584466481097</v>
      </c>
      <c r="AP564" s="323">
        <v>0.41436643941289497</v>
      </c>
      <c r="AQ564" s="323">
        <v>0.69268377272713288</v>
      </c>
      <c r="AR564" s="323">
        <v>0.60381995614679296</v>
      </c>
      <c r="AS564" s="323">
        <v>0.42425084466481094</v>
      </c>
      <c r="AT564" s="323">
        <v>0.48430443941289492</v>
      </c>
      <c r="AU564" s="190">
        <v>3479824494104342</v>
      </c>
      <c r="AV564" s="190">
        <v>3355801144076095</v>
      </c>
      <c r="AW564" s="190">
        <v>1.6381823144277558E+16</v>
      </c>
      <c r="AX564" s="190">
        <v>2.0907889877957884E+16</v>
      </c>
      <c r="AY564" s="203">
        <v>2.8</v>
      </c>
      <c r="AZ564" s="239">
        <v>61.6</v>
      </c>
      <c r="BA564" s="203">
        <v>1986</v>
      </c>
      <c r="BB564" s="204">
        <v>35684</v>
      </c>
      <c r="BC564" s="203" t="s">
        <v>1109</v>
      </c>
    </row>
    <row r="565" spans="1:55" x14ac:dyDescent="0.2">
      <c r="A565" s="184" t="s">
        <v>681</v>
      </c>
      <c r="B565" s="184" t="s">
        <v>2248</v>
      </c>
      <c r="C565" s="184" t="s">
        <v>934</v>
      </c>
      <c r="D565" s="185" t="s">
        <v>1043</v>
      </c>
      <c r="E565" s="184" t="s">
        <v>2249</v>
      </c>
      <c r="F565" s="184" t="s">
        <v>2250</v>
      </c>
      <c r="G565" s="186">
        <f>IF(ALECA_Input!$F$13="ICAO (3000ft)",'Aircraft Calc'!C$211,'Aircraft Calc'!G$211)</f>
        <v>0.7</v>
      </c>
      <c r="H565" s="186">
        <f>IF(ALECA_Input!$F$13="ICAO (3000ft)",'Aircraft Calc'!D$211,'Aircraft Calc'!H$211)</f>
        <v>2.2000000000000002</v>
      </c>
      <c r="I565" s="186">
        <f>IF(ALECA_Input!$F$13="ICAO (3000ft)",'Aircraft Calc'!E$211,'Aircraft Calc'!I$211)</f>
        <v>4</v>
      </c>
      <c r="J565" s="189">
        <v>1</v>
      </c>
      <c r="K565" s="187">
        <f t="shared" si="145"/>
        <v>170.28000000000003</v>
      </c>
      <c r="L565" s="187">
        <f t="shared" si="146"/>
        <v>2.38524</v>
      </c>
      <c r="M565" s="187">
        <f t="shared" si="147"/>
        <v>0.10016400000000002</v>
      </c>
      <c r="N565" s="187">
        <f t="shared" si="148"/>
        <v>0.30415199999999998</v>
      </c>
      <c r="O565" s="187">
        <f t="shared" si="149"/>
        <v>9.5742780204114947E-2</v>
      </c>
      <c r="P565" s="188">
        <f t="shared" si="150"/>
        <v>1.2944210585573E+18</v>
      </c>
      <c r="Q565" s="187">
        <f t="shared" si="151"/>
        <v>6600</v>
      </c>
      <c r="R565" s="219">
        <f t="shared" si="152"/>
        <v>16.5</v>
      </c>
      <c r="S565" s="219">
        <f t="shared" si="153"/>
        <v>22.439999999999998</v>
      </c>
      <c r="T565" s="219">
        <f t="shared" si="154"/>
        <v>159.06</v>
      </c>
      <c r="U565" s="219">
        <f t="shared" si="155"/>
        <v>3.1964093001251062</v>
      </c>
      <c r="V565" s="188">
        <f t="shared" si="156"/>
        <v>1.3799207319452203E+17</v>
      </c>
      <c r="W565" s="323">
        <v>0.76</v>
      </c>
      <c r="X565" s="323">
        <v>0.63</v>
      </c>
      <c r="Y565" s="323">
        <v>0.23</v>
      </c>
      <c r="Z565" s="323">
        <v>0.11</v>
      </c>
      <c r="AA565" s="323">
        <v>21.1</v>
      </c>
      <c r="AB565" s="323">
        <v>16.8</v>
      </c>
      <c r="AC565" s="323">
        <v>5.7</v>
      </c>
      <c r="AD565" s="323">
        <v>2.5</v>
      </c>
      <c r="AE565" s="323">
        <v>0.8</v>
      </c>
      <c r="AF565" s="323">
        <v>0.3</v>
      </c>
      <c r="AG565" s="323">
        <v>0.9</v>
      </c>
      <c r="AH565" s="323">
        <v>3.4</v>
      </c>
      <c r="AI565" s="323">
        <v>0.70000000000000007</v>
      </c>
      <c r="AJ565" s="323">
        <v>0.8</v>
      </c>
      <c r="AK565" s="323">
        <v>3.9</v>
      </c>
      <c r="AL565" s="323">
        <v>24.1</v>
      </c>
      <c r="AM565" s="323">
        <v>0.55172377272713291</v>
      </c>
      <c r="AN565" s="323">
        <v>0.53205995614679291</v>
      </c>
      <c r="AO565" s="323">
        <v>0.32466584466481097</v>
      </c>
      <c r="AP565" s="323">
        <v>0.41436643941289497</v>
      </c>
      <c r="AQ565" s="323">
        <v>0.69268377272713288</v>
      </c>
      <c r="AR565" s="323">
        <v>0.60381995614679296</v>
      </c>
      <c r="AS565" s="323">
        <v>0.42425084466481094</v>
      </c>
      <c r="AT565" s="323">
        <v>0.48430443941289492</v>
      </c>
      <c r="AU565" s="190">
        <v>3479824494104342</v>
      </c>
      <c r="AV565" s="190">
        <v>3355801144076095</v>
      </c>
      <c r="AW565" s="190">
        <v>1.6381823144277558E+16</v>
      </c>
      <c r="AX565" s="190">
        <v>2.0907889877957884E+16</v>
      </c>
      <c r="AY565" s="203">
        <v>2.8</v>
      </c>
      <c r="AZ565" s="239">
        <v>61.6</v>
      </c>
      <c r="BA565" s="203">
        <v>1986</v>
      </c>
      <c r="BB565" s="204">
        <v>35684</v>
      </c>
      <c r="BC565" s="203" t="s">
        <v>3154</v>
      </c>
    </row>
    <row r="566" spans="1:55" x14ac:dyDescent="0.2">
      <c r="A566" s="184" t="s">
        <v>2252</v>
      </c>
      <c r="B566" s="184" t="s">
        <v>2251</v>
      </c>
      <c r="C566" s="184" t="s">
        <v>934</v>
      </c>
      <c r="D566" s="185" t="s">
        <v>1043</v>
      </c>
      <c r="E566" s="184" t="s">
        <v>2253</v>
      </c>
      <c r="F566" s="184" t="s">
        <v>2254</v>
      </c>
      <c r="G566" s="186">
        <f>IF(ALECA_Input!$F$13="ICAO (3000ft)",'Aircraft Calc'!C$211,'Aircraft Calc'!G$211)</f>
        <v>0.7</v>
      </c>
      <c r="H566" s="186">
        <f>IF(ALECA_Input!$F$13="ICAO (3000ft)",'Aircraft Calc'!D$211,'Aircraft Calc'!H$211)</f>
        <v>2.2000000000000002</v>
      </c>
      <c r="I566" s="186">
        <f>IF(ALECA_Input!$F$13="ICAO (3000ft)",'Aircraft Calc'!E$211,'Aircraft Calc'!I$211)</f>
        <v>4</v>
      </c>
      <c r="J566" s="189">
        <v>1</v>
      </c>
      <c r="K566" s="187">
        <f t="shared" si="145"/>
        <v>192.048</v>
      </c>
      <c r="L566" s="187">
        <f t="shared" si="146"/>
        <v>2.5589920799999994</v>
      </c>
      <c r="M566" s="187">
        <f t="shared" si="147"/>
        <v>0.10592256</v>
      </c>
      <c r="N566" s="187">
        <f t="shared" si="148"/>
        <v>0.65225412000000005</v>
      </c>
      <c r="O566" s="187">
        <f t="shared" si="149"/>
        <v>8.8572602772447134E-2</v>
      </c>
      <c r="P566" s="188">
        <f t="shared" si="150"/>
        <v>1.2132811085417866E+18</v>
      </c>
      <c r="Q566" s="187">
        <f t="shared" si="151"/>
        <v>7140</v>
      </c>
      <c r="R566" s="219">
        <f t="shared" si="152"/>
        <v>12.138</v>
      </c>
      <c r="S566" s="219">
        <f t="shared" si="153"/>
        <v>23.490600000000001</v>
      </c>
      <c r="T566" s="219">
        <f t="shared" si="154"/>
        <v>241.11780000000002</v>
      </c>
      <c r="U566" s="219">
        <f t="shared" si="155"/>
        <v>3.0724075452225468</v>
      </c>
      <c r="V566" s="188">
        <f t="shared" si="156"/>
        <v>1.3007416516568416E+17</v>
      </c>
      <c r="W566" s="323">
        <v>0.874</v>
      </c>
      <c r="X566" s="323">
        <v>0.71499999999999997</v>
      </c>
      <c r="Y566" s="323">
        <v>0.254</v>
      </c>
      <c r="Z566" s="323">
        <v>0.11899999999999999</v>
      </c>
      <c r="AA566" s="323">
        <v>19.809999999999999</v>
      </c>
      <c r="AB566" s="323">
        <v>16.47</v>
      </c>
      <c r="AC566" s="323">
        <v>4.55</v>
      </c>
      <c r="AD566" s="323">
        <v>1.7</v>
      </c>
      <c r="AE566" s="323">
        <v>0.37</v>
      </c>
      <c r="AF566" s="323">
        <v>0.41000000000000003</v>
      </c>
      <c r="AG566" s="323">
        <v>0.88</v>
      </c>
      <c r="AH566" s="323">
        <v>3.29</v>
      </c>
      <c r="AI566" s="323">
        <v>1.74</v>
      </c>
      <c r="AJ566" s="323">
        <v>2.0100000000000002</v>
      </c>
      <c r="AK566" s="323">
        <v>6.54</v>
      </c>
      <c r="AL566" s="323">
        <v>33.770000000000003</v>
      </c>
      <c r="AM566" s="323">
        <v>0.4173593943742715</v>
      </c>
      <c r="AN566" s="323">
        <v>0.4141146258449665</v>
      </c>
      <c r="AO566" s="323">
        <v>0.28289106719994178</v>
      </c>
      <c r="AP566" s="323">
        <v>0.36104988000315785</v>
      </c>
      <c r="AQ566" s="323">
        <v>0.50886939437427148</v>
      </c>
      <c r="AR566" s="323">
        <v>0.49423462584496647</v>
      </c>
      <c r="AS566" s="323">
        <v>0.38135106719994183</v>
      </c>
      <c r="AT566" s="323">
        <v>0.43030918000315782</v>
      </c>
      <c r="AU566" s="190">
        <v>2632363358586742</v>
      </c>
      <c r="AV566" s="190">
        <v>2611897999716735.5</v>
      </c>
      <c r="AW566" s="190">
        <v>1.427397278808266E+16</v>
      </c>
      <c r="AX566" s="190">
        <v>1.8217670191272292E+16</v>
      </c>
      <c r="AY566" s="203">
        <v>2.9</v>
      </c>
      <c r="AZ566" s="239">
        <v>67.2</v>
      </c>
      <c r="BA566" s="203">
        <v>1989</v>
      </c>
      <c r="BB566" s="204">
        <v>35684</v>
      </c>
      <c r="BC566" s="203" t="s">
        <v>3102</v>
      </c>
    </row>
    <row r="567" spans="1:55" x14ac:dyDescent="0.2">
      <c r="A567" s="184" t="s">
        <v>2256</v>
      </c>
      <c r="B567" s="184" t="s">
        <v>2255</v>
      </c>
      <c r="C567" s="184" t="s">
        <v>2259</v>
      </c>
      <c r="D567" s="185" t="s">
        <v>1043</v>
      </c>
      <c r="E567" s="184" t="s">
        <v>2257</v>
      </c>
      <c r="F567" s="184" t="s">
        <v>2258</v>
      </c>
      <c r="G567" s="186">
        <f>IF(ALECA_Input!$F$13="ICAO (3000ft)",'Aircraft Calc'!C$211,'Aircraft Calc'!G$211)</f>
        <v>0.7</v>
      </c>
      <c r="H567" s="186">
        <f>IF(ALECA_Input!$F$13="ICAO (3000ft)",'Aircraft Calc'!D$211,'Aircraft Calc'!H$211)</f>
        <v>2.2000000000000002</v>
      </c>
      <c r="I567" s="186">
        <f>IF(ALECA_Input!$F$13="ICAO (3000ft)",'Aircraft Calc'!E$211,'Aircraft Calc'!I$211)</f>
        <v>4</v>
      </c>
      <c r="J567" s="189">
        <v>1</v>
      </c>
      <c r="K567" s="187">
        <f t="shared" si="145"/>
        <v>169.74600000000001</v>
      </c>
      <c r="L567" s="187">
        <f t="shared" si="146"/>
        <v>2.1097390800000002</v>
      </c>
      <c r="M567" s="187">
        <f t="shared" si="147"/>
        <v>6.2244000000000004E-4</v>
      </c>
      <c r="N567" s="187">
        <f t="shared" si="148"/>
        <v>0.42607392000000005</v>
      </c>
      <c r="O567" s="187">
        <f t="shared" si="149"/>
        <v>1.6823236380582043E-2</v>
      </c>
      <c r="P567" s="188">
        <f t="shared" si="150"/>
        <v>8.7149701913875008E+16</v>
      </c>
      <c r="Q567" s="187">
        <f t="shared" si="151"/>
        <v>6300</v>
      </c>
      <c r="R567" s="219">
        <f t="shared" si="152"/>
        <v>17.387999999999998</v>
      </c>
      <c r="S567" s="219">
        <f t="shared" si="153"/>
        <v>6.9930000000000003</v>
      </c>
      <c r="T567" s="219">
        <f t="shared" si="154"/>
        <v>179.86500000000001</v>
      </c>
      <c r="U567" s="219">
        <f t="shared" si="155"/>
        <v>0.44801122732565829</v>
      </c>
      <c r="V567" s="188">
        <f t="shared" si="156"/>
        <v>4864930274585748</v>
      </c>
      <c r="W567" s="323">
        <v>0.74099999999999999</v>
      </c>
      <c r="X567" s="323">
        <v>0.61199999999999999</v>
      </c>
      <c r="Y567" s="323">
        <v>0.24099999999999999</v>
      </c>
      <c r="Z567" s="323">
        <v>0.105</v>
      </c>
      <c r="AA567" s="323">
        <v>18.420000000000002</v>
      </c>
      <c r="AB567" s="323">
        <v>15.01</v>
      </c>
      <c r="AC567" s="323">
        <v>5.6</v>
      </c>
      <c r="AD567" s="323">
        <v>2.76</v>
      </c>
      <c r="AE567" s="323">
        <v>0.02</v>
      </c>
      <c r="AF567" s="323">
        <v>0</v>
      </c>
      <c r="AG567" s="323">
        <v>0</v>
      </c>
      <c r="AH567" s="323">
        <v>1.1100000000000001</v>
      </c>
      <c r="AI567" s="323">
        <v>1.1200000000000001</v>
      </c>
      <c r="AJ567" s="323">
        <v>1.27</v>
      </c>
      <c r="AK567" s="323">
        <v>4.99</v>
      </c>
      <c r="AL567" s="323">
        <v>28.55</v>
      </c>
      <c r="AM567" s="323">
        <v>0.1161598219897403</v>
      </c>
      <c r="AN567" s="323">
        <v>5.0228698032666157E-2</v>
      </c>
      <c r="AO567" s="323">
        <v>1.3279572938216404E-2</v>
      </c>
      <c r="AP567" s="323">
        <v>1.5304193226294966E-2</v>
      </c>
      <c r="AQ567" s="323">
        <v>0.16741982198974031</v>
      </c>
      <c r="AR567" s="323">
        <v>9.9188698032666167E-2</v>
      </c>
      <c r="AS567" s="323">
        <v>6.2239572938216414E-2</v>
      </c>
      <c r="AT567" s="323">
        <v>7.1112893226294965E-2</v>
      </c>
      <c r="AU567" s="190">
        <v>732641611204620.38</v>
      </c>
      <c r="AV567" s="190">
        <v>316801744570624.13</v>
      </c>
      <c r="AW567" s="190">
        <v>670053899664099.75</v>
      </c>
      <c r="AX567" s="190">
        <v>772211154696150.5</v>
      </c>
      <c r="AY567" s="203">
        <v>2.6</v>
      </c>
      <c r="AZ567" s="239">
        <v>61.61</v>
      </c>
      <c r="BA567" s="203">
        <v>2002</v>
      </c>
      <c r="BB567" s="204">
        <v>39296</v>
      </c>
      <c r="BC567" s="203" t="s">
        <v>2260</v>
      </c>
    </row>
    <row r="568" spans="1:55" x14ac:dyDescent="0.2">
      <c r="A568" s="184" t="s">
        <v>2262</v>
      </c>
      <c r="B568" s="184" t="s">
        <v>2261</v>
      </c>
      <c r="C568" s="184" t="s">
        <v>934</v>
      </c>
      <c r="D568" s="185" t="s">
        <v>1043</v>
      </c>
      <c r="E568" s="184" t="s">
        <v>3155</v>
      </c>
      <c r="F568" s="184" t="s">
        <v>3155</v>
      </c>
      <c r="G568" s="186">
        <f>IF(ALECA_Input!$F$13="ICAO (3000ft)",'Aircraft Calc'!C$211,'Aircraft Calc'!G$211)</f>
        <v>0.7</v>
      </c>
      <c r="H568" s="186">
        <f>IF(ALECA_Input!$F$13="ICAO (3000ft)",'Aircraft Calc'!D$211,'Aircraft Calc'!H$211)</f>
        <v>2.2000000000000002</v>
      </c>
      <c r="I568" s="186">
        <f>IF(ALECA_Input!$F$13="ICAO (3000ft)",'Aircraft Calc'!E$211,'Aircraft Calc'!I$211)</f>
        <v>4</v>
      </c>
      <c r="J568" s="189">
        <v>1</v>
      </c>
      <c r="K568" s="187">
        <f t="shared" si="145"/>
        <v>162.03</v>
      </c>
      <c r="L568" s="187">
        <f t="shared" si="146"/>
        <v>2.0943557999999998</v>
      </c>
      <c r="M568" s="187">
        <f t="shared" si="147"/>
        <v>3.8447460000000003E-2</v>
      </c>
      <c r="N568" s="187">
        <f t="shared" si="148"/>
        <v>0.24021660000000003</v>
      </c>
      <c r="O568" s="187">
        <f t="shared" si="149"/>
        <v>2.4028960146849729E-2</v>
      </c>
      <c r="P568" s="188">
        <f t="shared" si="150"/>
        <v>1.2569184851235226E+17</v>
      </c>
      <c r="Q568" s="187">
        <f t="shared" si="151"/>
        <v>6119.9999999999991</v>
      </c>
      <c r="R568" s="219">
        <f t="shared" si="152"/>
        <v>15.483599999999997</v>
      </c>
      <c r="S568" s="219">
        <f t="shared" si="153"/>
        <v>9.1187999999999985</v>
      </c>
      <c r="T568" s="219">
        <f t="shared" si="154"/>
        <v>149.32799999999997</v>
      </c>
      <c r="U568" s="219">
        <f t="shared" si="155"/>
        <v>0.45898727710889969</v>
      </c>
      <c r="V568" s="188">
        <f t="shared" si="156"/>
        <v>5201616131119687</v>
      </c>
      <c r="W568" s="323">
        <v>0.73099999999999998</v>
      </c>
      <c r="X568" s="323">
        <v>0.60399999999999998</v>
      </c>
      <c r="Y568" s="323">
        <v>0.215</v>
      </c>
      <c r="Z568" s="323">
        <v>0.10199999999999999</v>
      </c>
      <c r="AA568" s="323">
        <v>19.3</v>
      </c>
      <c r="AB568" s="323">
        <v>15.4</v>
      </c>
      <c r="AC568" s="323">
        <v>5.31</v>
      </c>
      <c r="AD568" s="323">
        <v>2.5299999999999998</v>
      </c>
      <c r="AE568" s="323">
        <v>0.03</v>
      </c>
      <c r="AF568" s="323">
        <v>0.05</v>
      </c>
      <c r="AG568" s="323">
        <v>0.65</v>
      </c>
      <c r="AH568" s="323">
        <v>1.49</v>
      </c>
      <c r="AI568" s="323">
        <v>0.5</v>
      </c>
      <c r="AJ568" s="323">
        <v>0.95</v>
      </c>
      <c r="AK568" s="323">
        <v>2.89</v>
      </c>
      <c r="AL568" s="323">
        <v>24.4</v>
      </c>
      <c r="AM568" s="323">
        <v>0.13609505610855296</v>
      </c>
      <c r="AN568" s="323">
        <v>0.10970617173824207</v>
      </c>
      <c r="AO568" s="323">
        <v>1.6965387090278623E-2</v>
      </c>
      <c r="AP568" s="323">
        <v>1.6844621096225445E-2</v>
      </c>
      <c r="AQ568" s="323">
        <v>0.18850505610855295</v>
      </c>
      <c r="AR568" s="323">
        <v>0.16246617173824207</v>
      </c>
      <c r="AS568" s="323">
        <v>0.10248788709027862</v>
      </c>
      <c r="AT568" s="323">
        <v>7.4997921096225453E-2</v>
      </c>
      <c r="AU568" s="190">
        <v>858376842150809.5</v>
      </c>
      <c r="AV568" s="190">
        <v>691937238234538.13</v>
      </c>
      <c r="AW568" s="190">
        <v>856030825090598</v>
      </c>
      <c r="AX568" s="190">
        <v>849937276326746.38</v>
      </c>
      <c r="AY568" s="203">
        <v>2.5</v>
      </c>
      <c r="AZ568" s="239">
        <v>61.6</v>
      </c>
      <c r="BA568" s="203">
        <v>2011</v>
      </c>
      <c r="BB568" s="204">
        <v>41208</v>
      </c>
      <c r="BC568" s="203" t="s">
        <v>2263</v>
      </c>
    </row>
    <row r="569" spans="1:55" x14ac:dyDescent="0.2">
      <c r="A569" s="184" t="s">
        <v>2265</v>
      </c>
      <c r="B569" s="184" t="s">
        <v>2264</v>
      </c>
      <c r="C569" s="184" t="s">
        <v>934</v>
      </c>
      <c r="D569" s="185" t="s">
        <v>1043</v>
      </c>
      <c r="E569" s="184" t="s">
        <v>2266</v>
      </c>
      <c r="F569" s="184" t="s">
        <v>2266</v>
      </c>
      <c r="G569" s="186">
        <f>IF(ALECA_Input!$F$13="ICAO (3000ft)",'Aircraft Calc'!C$211,'Aircraft Calc'!G$211)</f>
        <v>0.7</v>
      </c>
      <c r="H569" s="186">
        <f>IF(ALECA_Input!$F$13="ICAO (3000ft)",'Aircraft Calc'!D$211,'Aircraft Calc'!H$211)</f>
        <v>2.2000000000000002</v>
      </c>
      <c r="I569" s="186">
        <f>IF(ALECA_Input!$F$13="ICAO (3000ft)",'Aircraft Calc'!E$211,'Aircraft Calc'!I$211)</f>
        <v>4</v>
      </c>
      <c r="J569" s="189">
        <v>1</v>
      </c>
      <c r="K569" s="187">
        <f t="shared" si="145"/>
        <v>110.86799999999999</v>
      </c>
      <c r="L569" s="187">
        <f t="shared" si="146"/>
        <v>0.87735960000000002</v>
      </c>
      <c r="M569" s="187">
        <f t="shared" si="147"/>
        <v>0.31561788000000002</v>
      </c>
      <c r="N569" s="187">
        <f t="shared" si="148"/>
        <v>2.3505240000000001</v>
      </c>
      <c r="O569" s="187">
        <f t="shared" si="149"/>
        <v>8.061517879823385E-2</v>
      </c>
      <c r="P569" s="188">
        <f t="shared" si="150"/>
        <v>5.3273157435253139E+17</v>
      </c>
      <c r="Q569" s="187">
        <f t="shared" si="151"/>
        <v>3179.9999999999995</v>
      </c>
      <c r="R569" s="219">
        <f t="shared" si="152"/>
        <v>4.7699999999999996</v>
      </c>
      <c r="S569" s="219">
        <f t="shared" si="153"/>
        <v>189.20999999999998</v>
      </c>
      <c r="T569" s="219">
        <f t="shared" si="154"/>
        <v>567.31200000000001</v>
      </c>
      <c r="U569" s="219">
        <f t="shared" si="155"/>
        <v>1.4337313413584829</v>
      </c>
      <c r="V569" s="188">
        <f t="shared" si="156"/>
        <v>5581246177870887</v>
      </c>
      <c r="W569" s="323">
        <v>0.498</v>
      </c>
      <c r="X569" s="323">
        <v>0.41599999999999998</v>
      </c>
      <c r="Y569" s="323">
        <v>0.14599999999999999</v>
      </c>
      <c r="Z569" s="323">
        <v>5.2999999999999999E-2</v>
      </c>
      <c r="AA569" s="323">
        <v>11.5</v>
      </c>
      <c r="AB569" s="323">
        <v>9.3000000000000007</v>
      </c>
      <c r="AC569" s="323">
        <v>3.6</v>
      </c>
      <c r="AD569" s="323">
        <v>1.5</v>
      </c>
      <c r="AE569" s="323">
        <v>0.75</v>
      </c>
      <c r="AF569" s="323">
        <v>0.74</v>
      </c>
      <c r="AG569" s="323">
        <v>7.4</v>
      </c>
      <c r="AH569" s="323">
        <v>59.5</v>
      </c>
      <c r="AI569" s="323">
        <v>6.2</v>
      </c>
      <c r="AJ569" s="323">
        <v>7.9</v>
      </c>
      <c r="AK569" s="323">
        <v>51</v>
      </c>
      <c r="AL569" s="323">
        <v>178.4</v>
      </c>
      <c r="AM569" s="323">
        <v>0.9404807545662508</v>
      </c>
      <c r="AN569" s="323">
        <v>0.58148495592641525</v>
      </c>
      <c r="AO569" s="323">
        <v>0.11723254212028678</v>
      </c>
      <c r="AP569" s="323">
        <v>3.4783912376881464E-2</v>
      </c>
      <c r="AQ569" s="323">
        <v>1.0756907545662506</v>
      </c>
      <c r="AR569" s="323">
        <v>0.68668495592641532</v>
      </c>
      <c r="AS569" s="323">
        <v>0.58244254212028679</v>
      </c>
      <c r="AT569" s="323">
        <v>0.45085891237688147</v>
      </c>
      <c r="AU569" s="190">
        <v>5931787114766873</v>
      </c>
      <c r="AV569" s="190">
        <v>3667533814220242</v>
      </c>
      <c r="AW569" s="190">
        <v>5915259653356323</v>
      </c>
      <c r="AX569" s="190">
        <v>1755108860965688</v>
      </c>
      <c r="AY569" s="203">
        <v>4</v>
      </c>
      <c r="AZ569" s="239">
        <v>32.4</v>
      </c>
      <c r="BA569" s="203">
        <v>1977</v>
      </c>
      <c r="BB569" s="204">
        <v>39296</v>
      </c>
      <c r="BC569" s="203" t="s">
        <v>741</v>
      </c>
    </row>
    <row r="570" spans="1:55" x14ac:dyDescent="0.2">
      <c r="A570" s="184" t="s">
        <v>2268</v>
      </c>
      <c r="B570" s="184" t="s">
        <v>2267</v>
      </c>
      <c r="C570" s="184" t="s">
        <v>934</v>
      </c>
      <c r="D570" s="185" t="s">
        <v>1043</v>
      </c>
      <c r="E570" s="184" t="s">
        <v>2269</v>
      </c>
      <c r="F570" s="184" t="s">
        <v>2270</v>
      </c>
      <c r="G570" s="186">
        <f>IF(ALECA_Input!$F$13="ICAO (3000ft)",'Aircraft Calc'!C$211,'Aircraft Calc'!G$211)</f>
        <v>0.7</v>
      </c>
      <c r="H570" s="186">
        <f>IF(ALECA_Input!$F$13="ICAO (3000ft)",'Aircraft Calc'!D$211,'Aircraft Calc'!H$211)</f>
        <v>2.2000000000000002</v>
      </c>
      <c r="I570" s="186">
        <f>IF(ALECA_Input!$F$13="ICAO (3000ft)",'Aircraft Calc'!E$211,'Aircraft Calc'!I$211)</f>
        <v>4</v>
      </c>
      <c r="J570" s="189">
        <v>1</v>
      </c>
      <c r="K570" s="187">
        <f t="shared" si="145"/>
        <v>587.34</v>
      </c>
      <c r="L570" s="187">
        <f t="shared" si="146"/>
        <v>15.22068</v>
      </c>
      <c r="M570" s="187">
        <f t="shared" si="147"/>
        <v>0</v>
      </c>
      <c r="N570" s="187">
        <f t="shared" si="148"/>
        <v>0.38550000000000001</v>
      </c>
      <c r="O570" s="187">
        <f t="shared" si="149"/>
        <v>4.8630494561010054E-2</v>
      </c>
      <c r="P570" s="188">
        <f t="shared" si="150"/>
        <v>3.2806927667898931E+17</v>
      </c>
      <c r="Q570" s="187">
        <f t="shared" si="151"/>
        <v>16200.000000000004</v>
      </c>
      <c r="R570" s="219">
        <f t="shared" si="152"/>
        <v>81.000000000000014</v>
      </c>
      <c r="S570" s="219">
        <f t="shared" si="153"/>
        <v>3.8880000000000003</v>
      </c>
      <c r="T570" s="219">
        <f t="shared" si="154"/>
        <v>258.22800000000007</v>
      </c>
      <c r="U570" s="219">
        <f t="shared" si="155"/>
        <v>0.9325901173070954</v>
      </c>
      <c r="V570" s="188">
        <f t="shared" si="156"/>
        <v>5825274534539594</v>
      </c>
      <c r="W570" s="323">
        <v>2.69</v>
      </c>
      <c r="X570" s="323">
        <v>2.23</v>
      </c>
      <c r="Y570" s="323">
        <v>0.75</v>
      </c>
      <c r="Z570" s="323">
        <v>0.27</v>
      </c>
      <c r="AA570" s="323">
        <v>38.799999999999997</v>
      </c>
      <c r="AB570" s="323">
        <v>29.6</v>
      </c>
      <c r="AC570" s="323">
        <v>11.8</v>
      </c>
      <c r="AD570" s="323">
        <v>5</v>
      </c>
      <c r="AE570" s="323">
        <v>0</v>
      </c>
      <c r="AF570" s="323">
        <v>0</v>
      </c>
      <c r="AG570" s="323">
        <v>0</v>
      </c>
      <c r="AH570" s="323">
        <v>0.24</v>
      </c>
      <c r="AI570" s="323">
        <v>0.4</v>
      </c>
      <c r="AJ570" s="323">
        <v>0.3</v>
      </c>
      <c r="AK570" s="323">
        <v>1.4</v>
      </c>
      <c r="AL570" s="323">
        <v>15.94</v>
      </c>
      <c r="AM570" s="323">
        <v>2.9804309786038437E-2</v>
      </c>
      <c r="AN570" s="323">
        <v>4.0479311715481116E-2</v>
      </c>
      <c r="AO570" s="323">
        <v>2.5508594693413385E-2</v>
      </c>
      <c r="AP570" s="323">
        <v>7.126491191795991E-3</v>
      </c>
      <c r="AQ570" s="323">
        <v>7.8764309786038433E-2</v>
      </c>
      <c r="AR570" s="323">
        <v>8.9439311715481112E-2</v>
      </c>
      <c r="AS570" s="323">
        <v>7.4468594693413395E-2</v>
      </c>
      <c r="AT570" s="323">
        <v>5.7567291191796002E-2</v>
      </c>
      <c r="AU570" s="190">
        <v>187981327523155.72</v>
      </c>
      <c r="AV570" s="190">
        <v>255310550995020.97</v>
      </c>
      <c r="AW570" s="190">
        <v>1287099625025160.3</v>
      </c>
      <c r="AX570" s="190">
        <v>359584847811086</v>
      </c>
      <c r="AY570" s="203">
        <v>17.3</v>
      </c>
      <c r="AZ570" s="239">
        <v>345.9</v>
      </c>
      <c r="BA570" s="203">
        <v>2006</v>
      </c>
      <c r="BB570" s="204">
        <v>39849</v>
      </c>
      <c r="BC570" s="203" t="s">
        <v>2271</v>
      </c>
    </row>
    <row r="571" spans="1:55" x14ac:dyDescent="0.2">
      <c r="A571" s="184" t="s">
        <v>2273</v>
      </c>
      <c r="B571" s="184" t="s">
        <v>2272</v>
      </c>
      <c r="C571" s="184" t="s">
        <v>934</v>
      </c>
      <c r="D571" s="185" t="s">
        <v>1043</v>
      </c>
      <c r="E571" s="184" t="s">
        <v>3156</v>
      </c>
      <c r="F571" s="184" t="s">
        <v>2274</v>
      </c>
      <c r="G571" s="186">
        <f>IF(ALECA_Input!$F$13="ICAO (3000ft)",'Aircraft Calc'!C$211,'Aircraft Calc'!G$211)</f>
        <v>0.7</v>
      </c>
      <c r="H571" s="186">
        <f>IF(ALECA_Input!$F$13="ICAO (3000ft)",'Aircraft Calc'!D$211,'Aircraft Calc'!H$211)</f>
        <v>2.2000000000000002</v>
      </c>
      <c r="I571" s="186">
        <f>IF(ALECA_Input!$F$13="ICAO (3000ft)",'Aircraft Calc'!E$211,'Aircraft Calc'!I$211)</f>
        <v>4</v>
      </c>
      <c r="J571" s="189">
        <v>1</v>
      </c>
      <c r="K571" s="187">
        <f t="shared" si="145"/>
        <v>458.1</v>
      </c>
      <c r="L571" s="187">
        <f t="shared" si="146"/>
        <v>13.611198</v>
      </c>
      <c r="M571" s="187">
        <f t="shared" si="147"/>
        <v>4.1039999999999991E-3</v>
      </c>
      <c r="N571" s="187">
        <f t="shared" si="148"/>
        <v>0.15747</v>
      </c>
      <c r="O571" s="187">
        <f t="shared" si="149"/>
        <v>3.5551079123424187E-2</v>
      </c>
      <c r="P571" s="188">
        <f t="shared" si="150"/>
        <v>1.7538481276864835E+17</v>
      </c>
      <c r="Q571" s="187">
        <f t="shared" si="151"/>
        <v>10200.000000000002</v>
      </c>
      <c r="R571" s="219">
        <f t="shared" si="152"/>
        <v>62.118000000000002</v>
      </c>
      <c r="S571" s="219">
        <f t="shared" si="153"/>
        <v>11.73</v>
      </c>
      <c r="T571" s="219">
        <f t="shared" si="154"/>
        <v>190.63800000000003</v>
      </c>
      <c r="U571" s="219">
        <f t="shared" si="155"/>
        <v>0.65245393196130741</v>
      </c>
      <c r="V571" s="188">
        <f t="shared" si="156"/>
        <v>4071305358437010</v>
      </c>
      <c r="W571" s="323">
        <v>2.15</v>
      </c>
      <c r="X571" s="323">
        <v>1.75</v>
      </c>
      <c r="Y571" s="323">
        <v>0.56999999999999995</v>
      </c>
      <c r="Z571" s="323">
        <v>0.17</v>
      </c>
      <c r="AA571" s="323">
        <v>44.58</v>
      </c>
      <c r="AB571" s="323">
        <v>34.520000000000003</v>
      </c>
      <c r="AC571" s="323">
        <v>11.78</v>
      </c>
      <c r="AD571" s="323">
        <v>6.09</v>
      </c>
      <c r="AE571" s="323">
        <v>0</v>
      </c>
      <c r="AF571" s="323">
        <v>0</v>
      </c>
      <c r="AG571" s="323">
        <v>0.03</v>
      </c>
      <c r="AH571" s="323">
        <v>1.1499999999999999</v>
      </c>
      <c r="AI571" s="323">
        <v>0.36</v>
      </c>
      <c r="AJ571" s="323">
        <v>0.31</v>
      </c>
      <c r="AK571" s="323">
        <v>0.39</v>
      </c>
      <c r="AL571" s="323">
        <v>18.690000000000001</v>
      </c>
      <c r="AM571" s="323">
        <v>3.1588276645233893E-2</v>
      </c>
      <c r="AN571" s="323">
        <v>3.4235704550152617E-2</v>
      </c>
      <c r="AO571" s="323">
        <v>1.5575906368964252E-2</v>
      </c>
      <c r="AP571" s="323">
        <v>7.9105717609124823E-3</v>
      </c>
      <c r="AQ571" s="323">
        <v>8.0548276645233896E-2</v>
      </c>
      <c r="AR571" s="323">
        <v>8.3195704550152627E-2</v>
      </c>
      <c r="AS571" s="323">
        <v>6.6223406368964247E-2</v>
      </c>
      <c r="AT571" s="323">
        <v>6.3966071760912485E-2</v>
      </c>
      <c r="AU571" s="190">
        <v>199233138447694.16</v>
      </c>
      <c r="AV571" s="190">
        <v>215930958852231.63</v>
      </c>
      <c r="AW571" s="190">
        <v>785921117485059</v>
      </c>
      <c r="AX571" s="190">
        <v>399147584160491.13</v>
      </c>
      <c r="AY571" s="203">
        <v>15.2</v>
      </c>
      <c r="AZ571" s="239">
        <v>261.89999999999998</v>
      </c>
      <c r="BB571" s="204">
        <v>35892</v>
      </c>
      <c r="BC571" s="203" t="s">
        <v>3157</v>
      </c>
    </row>
    <row r="572" spans="1:55" x14ac:dyDescent="0.2">
      <c r="A572" s="184" t="s">
        <v>2276</v>
      </c>
      <c r="B572" s="184" t="s">
        <v>2275</v>
      </c>
      <c r="C572" s="184" t="s">
        <v>934</v>
      </c>
      <c r="D572" s="185" t="s">
        <v>1043</v>
      </c>
      <c r="E572" s="184" t="s">
        <v>2286</v>
      </c>
      <c r="F572" s="184" t="s">
        <v>2277</v>
      </c>
      <c r="G572" s="186">
        <f>IF(ALECA_Input!$F$13="ICAO (3000ft)",'Aircraft Calc'!C$211,'Aircraft Calc'!G$211)</f>
        <v>0.7</v>
      </c>
      <c r="H572" s="186">
        <f>IF(ALECA_Input!$F$13="ICAO (3000ft)",'Aircraft Calc'!D$211,'Aircraft Calc'!H$211)</f>
        <v>2.2000000000000002</v>
      </c>
      <c r="I572" s="186">
        <f>IF(ALECA_Input!$F$13="ICAO (3000ft)",'Aircraft Calc'!E$211,'Aircraft Calc'!I$211)</f>
        <v>4</v>
      </c>
      <c r="J572" s="189">
        <v>1</v>
      </c>
      <c r="K572" s="187">
        <f t="shared" si="145"/>
        <v>484.44000000000005</v>
      </c>
      <c r="L572" s="187">
        <f t="shared" si="146"/>
        <v>13.8915024</v>
      </c>
      <c r="M572" s="187">
        <f t="shared" si="147"/>
        <v>0</v>
      </c>
      <c r="N572" s="187">
        <f t="shared" si="148"/>
        <v>0.13071960000000002</v>
      </c>
      <c r="O572" s="187">
        <f t="shared" si="149"/>
        <v>2.8359653268591585E-2</v>
      </c>
      <c r="P572" s="188">
        <f t="shared" si="150"/>
        <v>7.4501658527583072E+16</v>
      </c>
      <c r="Q572" s="187">
        <f t="shared" si="151"/>
        <v>13800</v>
      </c>
      <c r="R572" s="219">
        <f t="shared" si="152"/>
        <v>85.422000000000011</v>
      </c>
      <c r="S572" s="219">
        <f t="shared" si="153"/>
        <v>1.3800000000000001</v>
      </c>
      <c r="T572" s="219">
        <f t="shared" si="154"/>
        <v>142.14000000000001</v>
      </c>
      <c r="U572" s="219">
        <f t="shared" si="155"/>
        <v>0.77881490339351234</v>
      </c>
      <c r="V572" s="188">
        <f t="shared" si="156"/>
        <v>4775917516028998</v>
      </c>
      <c r="W572" s="323">
        <v>2.2400000000000002</v>
      </c>
      <c r="X572" s="323">
        <v>1.83</v>
      </c>
      <c r="Y572" s="323">
        <v>0.62</v>
      </c>
      <c r="Z572" s="323">
        <v>0.23</v>
      </c>
      <c r="AA572" s="323">
        <v>44.91</v>
      </c>
      <c r="AB572" s="323">
        <v>32.76</v>
      </c>
      <c r="AC572" s="323">
        <v>11.78</v>
      </c>
      <c r="AD572" s="323">
        <v>6.19</v>
      </c>
      <c r="AE572" s="323">
        <v>0</v>
      </c>
      <c r="AF572" s="323">
        <v>0</v>
      </c>
      <c r="AG572" s="323">
        <v>0</v>
      </c>
      <c r="AH572" s="323">
        <v>0.1</v>
      </c>
      <c r="AI572" s="323">
        <v>0.02</v>
      </c>
      <c r="AJ572" s="323">
        <v>0.25</v>
      </c>
      <c r="AK572" s="323">
        <v>0.46</v>
      </c>
      <c r="AL572" s="323">
        <v>10.3</v>
      </c>
      <c r="AM572" s="323">
        <v>1.0734489117614255E-2</v>
      </c>
      <c r="AN572" s="323">
        <v>1.0793103893940736E-2</v>
      </c>
      <c r="AO572" s="323">
        <v>6.8843276598529101E-3</v>
      </c>
      <c r="AP572" s="323">
        <v>6.8588625647472649E-3</v>
      </c>
      <c r="AQ572" s="323">
        <v>5.9694489117614255E-2</v>
      </c>
      <c r="AR572" s="323">
        <v>5.9753103893940729E-2</v>
      </c>
      <c r="AS572" s="323">
        <v>5.5844327659852915E-2</v>
      </c>
      <c r="AT572" s="323">
        <v>5.6435862564747266E-2</v>
      </c>
      <c r="AU572" s="190">
        <v>67704420236473.836</v>
      </c>
      <c r="AV572" s="190">
        <v>68074114537245.266</v>
      </c>
      <c r="AW572" s="190">
        <v>347365884167463.94</v>
      </c>
      <c r="AX572" s="190">
        <v>346080979422391.13</v>
      </c>
      <c r="AY572" s="203">
        <v>16.100000000000001</v>
      </c>
      <c r="AZ572" s="239">
        <v>261.5</v>
      </c>
      <c r="BA572" s="203">
        <v>2002</v>
      </c>
      <c r="BB572" s="204">
        <v>39296</v>
      </c>
      <c r="BC572" s="203" t="s">
        <v>2278</v>
      </c>
    </row>
    <row r="573" spans="1:55" x14ac:dyDescent="0.2">
      <c r="A573" s="184" t="s">
        <v>2280</v>
      </c>
      <c r="B573" s="184" t="s">
        <v>2279</v>
      </c>
      <c r="C573" s="184" t="s">
        <v>934</v>
      </c>
      <c r="D573" s="185" t="s">
        <v>1043</v>
      </c>
      <c r="E573" s="184" t="s">
        <v>2281</v>
      </c>
      <c r="F573" s="184" t="s">
        <v>2282</v>
      </c>
      <c r="G573" s="186">
        <f>IF(ALECA_Input!$F$13="ICAO (3000ft)",'Aircraft Calc'!C$211,'Aircraft Calc'!G$211)</f>
        <v>0.7</v>
      </c>
      <c r="H573" s="186">
        <f>IF(ALECA_Input!$F$13="ICAO (3000ft)",'Aircraft Calc'!D$211,'Aircraft Calc'!H$211)</f>
        <v>2.2000000000000002</v>
      </c>
      <c r="I573" s="186">
        <f>IF(ALECA_Input!$F$13="ICAO (3000ft)",'Aircraft Calc'!E$211,'Aircraft Calc'!I$211)</f>
        <v>4</v>
      </c>
      <c r="J573" s="189">
        <v>1</v>
      </c>
      <c r="K573" s="187">
        <f t="shared" si="145"/>
        <v>460.98</v>
      </c>
      <c r="L573" s="187">
        <f t="shared" si="146"/>
        <v>12.3054138</v>
      </c>
      <c r="M573" s="187">
        <f t="shared" si="147"/>
        <v>9.8159999999999983E-3</v>
      </c>
      <c r="N573" s="187">
        <f t="shared" si="148"/>
        <v>0.21147000000000002</v>
      </c>
      <c r="O573" s="187">
        <f t="shared" si="149"/>
        <v>3.6131309484504326E-2</v>
      </c>
      <c r="P573" s="188">
        <f t="shared" si="150"/>
        <v>1.8013867541057875E+17</v>
      </c>
      <c r="Q573" s="187">
        <f t="shared" si="151"/>
        <v>13800</v>
      </c>
      <c r="R573" s="219">
        <f t="shared" si="152"/>
        <v>82.248000000000005</v>
      </c>
      <c r="S573" s="219">
        <f t="shared" si="153"/>
        <v>1.9320000000000004</v>
      </c>
      <c r="T573" s="219">
        <f t="shared" si="154"/>
        <v>144.9</v>
      </c>
      <c r="U573" s="219">
        <f t="shared" si="155"/>
        <v>0.79673433030059249</v>
      </c>
      <c r="V573" s="188">
        <f t="shared" si="156"/>
        <v>5508236661414778</v>
      </c>
      <c r="W573" s="323">
        <v>2.11</v>
      </c>
      <c r="X573" s="323">
        <v>1.73</v>
      </c>
      <c r="Y573" s="323">
        <v>0.6</v>
      </c>
      <c r="Z573" s="323">
        <v>0.23</v>
      </c>
      <c r="AA573" s="323">
        <v>40.549999999999997</v>
      </c>
      <c r="AB573" s="323">
        <v>30.98</v>
      </c>
      <c r="AC573" s="323">
        <v>11.37</v>
      </c>
      <c r="AD573" s="323">
        <v>5.96</v>
      </c>
      <c r="AE573" s="323">
        <v>0.02</v>
      </c>
      <c r="AF573" s="323">
        <v>0.01</v>
      </c>
      <c r="AG573" s="323">
        <v>0.04</v>
      </c>
      <c r="AH573" s="323">
        <v>0.14000000000000001</v>
      </c>
      <c r="AI573" s="323">
        <v>0.18</v>
      </c>
      <c r="AJ573" s="323">
        <v>0.44</v>
      </c>
      <c r="AK573" s="323">
        <v>0.66</v>
      </c>
      <c r="AL573" s="323">
        <v>10.5</v>
      </c>
      <c r="AM573" s="323">
        <v>3.1588276645233893E-2</v>
      </c>
      <c r="AN573" s="323">
        <v>3.4235704550152617E-2</v>
      </c>
      <c r="AO573" s="323">
        <v>1.5575906368964252E-2</v>
      </c>
      <c r="AP573" s="323">
        <v>7.9105717609124823E-3</v>
      </c>
      <c r="AQ573" s="323">
        <v>8.2848276645233893E-2</v>
      </c>
      <c r="AR573" s="323">
        <v>8.395570455015261E-2</v>
      </c>
      <c r="AS573" s="323">
        <v>6.6785906368964254E-2</v>
      </c>
      <c r="AT573" s="323">
        <v>5.7734371760912492E-2</v>
      </c>
      <c r="AU573" s="190">
        <v>199233138447694.16</v>
      </c>
      <c r="AV573" s="190">
        <v>215930958852231.63</v>
      </c>
      <c r="AW573" s="190">
        <v>785921117485059</v>
      </c>
      <c r="AX573" s="190">
        <v>399147584160491.13</v>
      </c>
      <c r="AY573" s="203">
        <v>14.4</v>
      </c>
      <c r="AZ573" s="239">
        <v>251.9</v>
      </c>
      <c r="BA573" s="203">
        <v>2005</v>
      </c>
      <c r="BB573" s="204">
        <v>39296</v>
      </c>
      <c r="BC573" s="203" t="s">
        <v>2283</v>
      </c>
    </row>
    <row r="574" spans="1:55" x14ac:dyDescent="0.2">
      <c r="A574" s="184" t="s">
        <v>2285</v>
      </c>
      <c r="B574" s="184" t="s">
        <v>2284</v>
      </c>
      <c r="C574" s="184" t="s">
        <v>934</v>
      </c>
      <c r="D574" s="185" t="s">
        <v>1043</v>
      </c>
      <c r="E574" s="184" t="s">
        <v>2286</v>
      </c>
      <c r="F574" s="184" t="s">
        <v>2287</v>
      </c>
      <c r="G574" s="186">
        <f>IF(ALECA_Input!$F$13="ICAO (3000ft)",'Aircraft Calc'!C$211,'Aircraft Calc'!G$211)</f>
        <v>0.7</v>
      </c>
      <c r="H574" s="186">
        <f>IF(ALECA_Input!$F$13="ICAO (3000ft)",'Aircraft Calc'!D$211,'Aircraft Calc'!H$211)</f>
        <v>2.2000000000000002</v>
      </c>
      <c r="I574" s="186">
        <f>IF(ALECA_Input!$F$13="ICAO (3000ft)",'Aircraft Calc'!E$211,'Aircraft Calc'!I$211)</f>
        <v>4</v>
      </c>
      <c r="J574" s="189">
        <v>1</v>
      </c>
      <c r="K574" s="187">
        <f t="shared" si="145"/>
        <v>484.44000000000005</v>
      </c>
      <c r="L574" s="187">
        <f t="shared" si="146"/>
        <v>13.981815600000001</v>
      </c>
      <c r="M574" s="187">
        <f t="shared" si="147"/>
        <v>1.0249200000000002E-2</v>
      </c>
      <c r="N574" s="187">
        <f t="shared" si="148"/>
        <v>0.18813840000000004</v>
      </c>
      <c r="O574" s="187">
        <f t="shared" si="149"/>
        <v>3.8302082274076485E-2</v>
      </c>
      <c r="P574" s="188">
        <f t="shared" si="150"/>
        <v>1.9830132897076256E+17</v>
      </c>
      <c r="Q574" s="187">
        <f t="shared" si="151"/>
        <v>13800</v>
      </c>
      <c r="R574" s="219">
        <f t="shared" si="152"/>
        <v>84.042000000000002</v>
      </c>
      <c r="S574" s="219">
        <f t="shared" si="153"/>
        <v>1.7940000000000003</v>
      </c>
      <c r="T574" s="219">
        <f t="shared" si="154"/>
        <v>137.44800000000001</v>
      </c>
      <c r="U574" s="219">
        <f t="shared" si="155"/>
        <v>0.79795900408475329</v>
      </c>
      <c r="V574" s="188">
        <f t="shared" si="156"/>
        <v>5612993158086293</v>
      </c>
      <c r="W574" s="323">
        <v>2.2400000000000002</v>
      </c>
      <c r="X574" s="323">
        <v>1.83</v>
      </c>
      <c r="Y574" s="323">
        <v>0.62</v>
      </c>
      <c r="Z574" s="323">
        <v>0.23</v>
      </c>
      <c r="AA574" s="323">
        <v>44.77</v>
      </c>
      <c r="AB574" s="323">
        <v>33.25</v>
      </c>
      <c r="AC574" s="323">
        <v>11.68</v>
      </c>
      <c r="AD574" s="323">
        <v>6.09</v>
      </c>
      <c r="AE574" s="323">
        <v>0.02</v>
      </c>
      <c r="AF574" s="323">
        <v>0.01</v>
      </c>
      <c r="AG574" s="323">
        <v>0.04</v>
      </c>
      <c r="AH574" s="323">
        <v>0.13</v>
      </c>
      <c r="AI574" s="323">
        <v>0.17</v>
      </c>
      <c r="AJ574" s="323">
        <v>0.38</v>
      </c>
      <c r="AK574" s="323">
        <v>0.54</v>
      </c>
      <c r="AL574" s="323">
        <v>9.9600000000000009</v>
      </c>
      <c r="AM574" s="323">
        <v>3.203887228146534E-2</v>
      </c>
      <c r="AN574" s="323">
        <v>3.4450466945441717E-2</v>
      </c>
      <c r="AO574" s="323">
        <v>1.688883316193094E-2</v>
      </c>
      <c r="AP574" s="323">
        <v>8.0610162380255913E-3</v>
      </c>
      <c r="AQ574" s="323">
        <v>8.3298872281465347E-2</v>
      </c>
      <c r="AR574" s="323">
        <v>8.4170466945441696E-2</v>
      </c>
      <c r="AS574" s="323">
        <v>6.8098833161930938E-2</v>
      </c>
      <c r="AT574" s="323">
        <v>5.78231162380256E-2</v>
      </c>
      <c r="AU574" s="190">
        <v>202075128967958</v>
      </c>
      <c r="AV574" s="190">
        <v>217285505240264.75</v>
      </c>
      <c r="AW574" s="190">
        <v>852168106126469.88</v>
      </c>
      <c r="AX574" s="190">
        <v>406738634643934.25</v>
      </c>
      <c r="AY574" s="203">
        <v>16.2</v>
      </c>
      <c r="AZ574" s="239">
        <v>263.89999999999998</v>
      </c>
      <c r="BA574" s="203">
        <v>2005</v>
      </c>
      <c r="BB574" s="204">
        <v>39296</v>
      </c>
      <c r="BC574" s="203" t="s">
        <v>2288</v>
      </c>
    </row>
    <row r="575" spans="1:55" x14ac:dyDescent="0.2">
      <c r="A575" s="184" t="s">
        <v>2290</v>
      </c>
      <c r="B575" s="184" t="s">
        <v>2289</v>
      </c>
      <c r="C575" s="184" t="s">
        <v>934</v>
      </c>
      <c r="D575" s="185" t="s">
        <v>1043</v>
      </c>
      <c r="E575" s="184" t="s">
        <v>2232</v>
      </c>
      <c r="F575" s="184" t="s">
        <v>2232</v>
      </c>
      <c r="G575" s="186">
        <f>IF(ALECA_Input!$F$13="ICAO (3000ft)",'Aircraft Calc'!C$211,'Aircraft Calc'!G$211)</f>
        <v>0.7</v>
      </c>
      <c r="H575" s="186">
        <f>IF(ALECA_Input!$F$13="ICAO (3000ft)",'Aircraft Calc'!D$211,'Aircraft Calc'!H$211)</f>
        <v>2.2000000000000002</v>
      </c>
      <c r="I575" s="186">
        <f>IF(ALECA_Input!$F$13="ICAO (3000ft)",'Aircraft Calc'!E$211,'Aircraft Calc'!I$211)</f>
        <v>4</v>
      </c>
      <c r="J575" s="189">
        <v>1</v>
      </c>
      <c r="K575" s="187">
        <f t="shared" si="145"/>
        <v>567.6</v>
      </c>
      <c r="L575" s="187">
        <f t="shared" si="146"/>
        <v>14.428080000000001</v>
      </c>
      <c r="M575" s="187">
        <f t="shared" si="147"/>
        <v>0</v>
      </c>
      <c r="N575" s="187">
        <f t="shared" si="148"/>
        <v>0.33696000000000004</v>
      </c>
      <c r="O575" s="187">
        <f t="shared" si="149"/>
        <v>4.6834719660337643E-2</v>
      </c>
      <c r="P575" s="188">
        <f t="shared" si="150"/>
        <v>3.0932415282138714E+17</v>
      </c>
      <c r="Q575" s="187">
        <f t="shared" si="151"/>
        <v>18000</v>
      </c>
      <c r="R575" s="219">
        <f t="shared" si="152"/>
        <v>91.8</v>
      </c>
      <c r="S575" s="219">
        <f t="shared" si="153"/>
        <v>3.6</v>
      </c>
      <c r="T575" s="219">
        <f t="shared" si="154"/>
        <v>271.8</v>
      </c>
      <c r="U575" s="219">
        <f t="shared" si="155"/>
        <v>1.0200251958845161</v>
      </c>
      <c r="V575" s="188">
        <f t="shared" si="156"/>
        <v>5879972398662690</v>
      </c>
      <c r="W575" s="323">
        <v>2.6</v>
      </c>
      <c r="X575" s="323">
        <v>2.2000000000000002</v>
      </c>
      <c r="Y575" s="323">
        <v>0.7</v>
      </c>
      <c r="Z575" s="323">
        <v>0.3</v>
      </c>
      <c r="AA575" s="323">
        <v>37.200000000000003</v>
      </c>
      <c r="AB575" s="323">
        <v>29.1</v>
      </c>
      <c r="AC575" s="323">
        <v>11.4</v>
      </c>
      <c r="AD575" s="323">
        <v>5.0999999999999996</v>
      </c>
      <c r="AE575" s="323">
        <v>0</v>
      </c>
      <c r="AF575" s="323">
        <v>0</v>
      </c>
      <c r="AG575" s="323">
        <v>0</v>
      </c>
      <c r="AH575" s="323">
        <v>0.2</v>
      </c>
      <c r="AI575" s="323">
        <v>0.4</v>
      </c>
      <c r="AJ575" s="323">
        <v>0.2</v>
      </c>
      <c r="AK575" s="323">
        <v>1.4</v>
      </c>
      <c r="AL575" s="323">
        <v>15.1</v>
      </c>
      <c r="AM575" s="323">
        <v>2.9804309786038437E-2</v>
      </c>
      <c r="AN575" s="323">
        <v>3.9617593399479338E-2</v>
      </c>
      <c r="AO575" s="323">
        <v>2.5508594693413385E-2</v>
      </c>
      <c r="AP575" s="323">
        <v>6.4740664380286746E-3</v>
      </c>
      <c r="AQ575" s="323">
        <v>7.8764309786038433E-2</v>
      </c>
      <c r="AR575" s="323">
        <v>8.8577593399479335E-2</v>
      </c>
      <c r="AS575" s="323">
        <v>7.4468594693413395E-2</v>
      </c>
      <c r="AT575" s="323">
        <v>5.6668066438028672E-2</v>
      </c>
      <c r="AU575" s="190">
        <v>187981327523155.72</v>
      </c>
      <c r="AV575" s="190">
        <v>249875533235646</v>
      </c>
      <c r="AW575" s="190">
        <v>1287099625025160.3</v>
      </c>
      <c r="AX575" s="190">
        <v>326665133259038.31</v>
      </c>
      <c r="AY575" s="203">
        <v>16.8</v>
      </c>
      <c r="AZ575" s="239">
        <v>334.7</v>
      </c>
      <c r="BA575" s="203">
        <v>2006</v>
      </c>
      <c r="BB575" s="204">
        <v>39296</v>
      </c>
      <c r="BC575" s="203" t="s">
        <v>2291</v>
      </c>
    </row>
    <row r="576" spans="1:55" x14ac:dyDescent="0.2">
      <c r="A576" s="184" t="s">
        <v>2268</v>
      </c>
      <c r="B576" s="184" t="s">
        <v>2292</v>
      </c>
      <c r="C576" s="184" t="s">
        <v>934</v>
      </c>
      <c r="D576" s="185" t="s">
        <v>1043</v>
      </c>
      <c r="E576" s="184" t="s">
        <v>2293</v>
      </c>
      <c r="F576" s="184" t="s">
        <v>2294</v>
      </c>
      <c r="G576" s="186">
        <f>IF(ALECA_Input!$F$13="ICAO (3000ft)",'Aircraft Calc'!C$211,'Aircraft Calc'!G$211)</f>
        <v>0.7</v>
      </c>
      <c r="H576" s="186">
        <f>IF(ALECA_Input!$F$13="ICAO (3000ft)",'Aircraft Calc'!D$211,'Aircraft Calc'!H$211)</f>
        <v>2.2000000000000002</v>
      </c>
      <c r="I576" s="186">
        <f>IF(ALECA_Input!$F$13="ICAO (3000ft)",'Aircraft Calc'!E$211,'Aircraft Calc'!I$211)</f>
        <v>4</v>
      </c>
      <c r="J576" s="189">
        <v>1</v>
      </c>
      <c r="K576" s="187">
        <f t="shared" si="145"/>
        <v>587.34</v>
      </c>
      <c r="L576" s="187">
        <f t="shared" si="146"/>
        <v>15.22068</v>
      </c>
      <c r="M576" s="187">
        <f t="shared" si="147"/>
        <v>0</v>
      </c>
      <c r="N576" s="187">
        <f t="shared" si="148"/>
        <v>0.38550000000000001</v>
      </c>
      <c r="O576" s="187">
        <f t="shared" si="149"/>
        <v>4.8630494561010054E-2</v>
      </c>
      <c r="P576" s="188">
        <f t="shared" si="150"/>
        <v>3.2806927667898931E+17</v>
      </c>
      <c r="Q576" s="187">
        <f t="shared" si="151"/>
        <v>16200.000000000004</v>
      </c>
      <c r="R576" s="219">
        <f t="shared" si="152"/>
        <v>81.000000000000014</v>
      </c>
      <c r="S576" s="219">
        <f t="shared" si="153"/>
        <v>3.8880000000000003</v>
      </c>
      <c r="T576" s="219">
        <f t="shared" si="154"/>
        <v>258.22800000000007</v>
      </c>
      <c r="U576" s="219">
        <f t="shared" si="155"/>
        <v>0.9325901173070954</v>
      </c>
      <c r="V576" s="188">
        <f t="shared" si="156"/>
        <v>5825274534539594</v>
      </c>
      <c r="W576" s="323">
        <v>2.69</v>
      </c>
      <c r="X576" s="323">
        <v>2.23</v>
      </c>
      <c r="Y576" s="323">
        <v>0.75</v>
      </c>
      <c r="Z576" s="323">
        <v>0.27</v>
      </c>
      <c r="AA576" s="323">
        <v>38.799999999999997</v>
      </c>
      <c r="AB576" s="323">
        <v>29.6</v>
      </c>
      <c r="AC576" s="323">
        <v>11.8</v>
      </c>
      <c r="AD576" s="323">
        <v>5</v>
      </c>
      <c r="AE576" s="323">
        <v>0</v>
      </c>
      <c r="AF576" s="323">
        <v>0</v>
      </c>
      <c r="AG576" s="323">
        <v>0</v>
      </c>
      <c r="AH576" s="323">
        <v>0.24</v>
      </c>
      <c r="AI576" s="323">
        <v>0.4</v>
      </c>
      <c r="AJ576" s="323">
        <v>0.3</v>
      </c>
      <c r="AK576" s="323">
        <v>1.4</v>
      </c>
      <c r="AL576" s="323">
        <v>15.94</v>
      </c>
      <c r="AM576" s="323">
        <v>2.9804309786038437E-2</v>
      </c>
      <c r="AN576" s="323">
        <v>4.0479311715481116E-2</v>
      </c>
      <c r="AO576" s="323">
        <v>2.5508594693413385E-2</v>
      </c>
      <c r="AP576" s="323">
        <v>7.126491191795991E-3</v>
      </c>
      <c r="AQ576" s="323">
        <v>7.8764309786038433E-2</v>
      </c>
      <c r="AR576" s="323">
        <v>8.9439311715481112E-2</v>
      </c>
      <c r="AS576" s="323">
        <v>7.4468594693413395E-2</v>
      </c>
      <c r="AT576" s="323">
        <v>5.7567291191796002E-2</v>
      </c>
      <c r="AU576" s="190">
        <v>187981327523155.72</v>
      </c>
      <c r="AV576" s="190">
        <v>255310550995020.97</v>
      </c>
      <c r="AW576" s="190">
        <v>1287099625025160.3</v>
      </c>
      <c r="AX576" s="190">
        <v>359584847811086</v>
      </c>
      <c r="AY576" s="203">
        <v>17.3</v>
      </c>
      <c r="AZ576" s="239">
        <v>341</v>
      </c>
      <c r="BA576" s="203">
        <v>2006</v>
      </c>
      <c r="BB576" s="204">
        <v>43062</v>
      </c>
      <c r="BC576" s="203" t="s">
        <v>2295</v>
      </c>
    </row>
    <row r="577" spans="1:55" x14ac:dyDescent="0.2">
      <c r="A577" s="184" t="s">
        <v>2297</v>
      </c>
      <c r="B577" s="184" t="s">
        <v>2296</v>
      </c>
      <c r="C577" s="184" t="s">
        <v>934</v>
      </c>
      <c r="D577" s="185" t="s">
        <v>1043</v>
      </c>
      <c r="E577" s="184" t="s">
        <v>2298</v>
      </c>
      <c r="F577" s="184" t="s">
        <v>2298</v>
      </c>
      <c r="G577" s="186">
        <f>IF(ALECA_Input!$F$13="ICAO (3000ft)",'Aircraft Calc'!C$211,'Aircraft Calc'!G$211)</f>
        <v>0.7</v>
      </c>
      <c r="H577" s="186">
        <f>IF(ALECA_Input!$F$13="ICAO (3000ft)",'Aircraft Calc'!D$211,'Aircraft Calc'!H$211)</f>
        <v>2.2000000000000002</v>
      </c>
      <c r="I577" s="186">
        <f>IF(ALECA_Input!$F$13="ICAO (3000ft)",'Aircraft Calc'!E$211,'Aircraft Calc'!I$211)</f>
        <v>4</v>
      </c>
      <c r="J577" s="189">
        <v>1</v>
      </c>
      <c r="K577" s="187">
        <f t="shared" si="145"/>
        <v>605.22</v>
      </c>
      <c r="L577" s="187">
        <f t="shared" si="146"/>
        <v>16.342344000000001</v>
      </c>
      <c r="M577" s="187">
        <f t="shared" si="147"/>
        <v>0</v>
      </c>
      <c r="N577" s="187">
        <f t="shared" si="148"/>
        <v>0.36031200000000002</v>
      </c>
      <c r="O577" s="187">
        <f t="shared" si="149"/>
        <v>5.0353276464470929E-2</v>
      </c>
      <c r="P577" s="188">
        <f t="shared" si="150"/>
        <v>3.6244078453574918E+17</v>
      </c>
      <c r="Q577" s="187">
        <f t="shared" si="151"/>
        <v>19200</v>
      </c>
      <c r="R577" s="219">
        <f t="shared" si="152"/>
        <v>99.84</v>
      </c>
      <c r="S577" s="219">
        <f t="shared" si="153"/>
        <v>3.84</v>
      </c>
      <c r="T577" s="219">
        <f t="shared" si="154"/>
        <v>289.91999999999996</v>
      </c>
      <c r="U577" s="219">
        <f t="shared" si="155"/>
        <v>1.1005534308824831</v>
      </c>
      <c r="V577" s="188">
        <f t="shared" si="156"/>
        <v>6904029077972851</v>
      </c>
      <c r="W577" s="323">
        <v>2.77</v>
      </c>
      <c r="X577" s="323">
        <v>2.34</v>
      </c>
      <c r="Y577" s="323">
        <v>0.75</v>
      </c>
      <c r="Z577" s="323">
        <v>0.32</v>
      </c>
      <c r="AA577" s="323">
        <v>39.6</v>
      </c>
      <c r="AB577" s="323">
        <v>31</v>
      </c>
      <c r="AC577" s="323">
        <v>12</v>
      </c>
      <c r="AD577" s="323">
        <v>5.2</v>
      </c>
      <c r="AE577" s="323">
        <v>0</v>
      </c>
      <c r="AF577" s="323">
        <v>0</v>
      </c>
      <c r="AG577" s="323">
        <v>0</v>
      </c>
      <c r="AH577" s="323">
        <v>0.2</v>
      </c>
      <c r="AI577" s="323">
        <v>0.4</v>
      </c>
      <c r="AJ577" s="323">
        <v>0.2</v>
      </c>
      <c r="AK577" s="323">
        <v>1.4</v>
      </c>
      <c r="AL577" s="323">
        <v>15.1</v>
      </c>
      <c r="AM577" s="323">
        <v>2.7811746407652594E-2</v>
      </c>
      <c r="AN577" s="323">
        <v>3.9617593399479338E-2</v>
      </c>
      <c r="AO577" s="323">
        <v>2.916113576763028E-2</v>
      </c>
      <c r="AP577" s="323">
        <v>7.126491191795991E-3</v>
      </c>
      <c r="AQ577" s="323">
        <v>7.677174640765258E-2</v>
      </c>
      <c r="AR577" s="323">
        <v>8.8577593399479335E-2</v>
      </c>
      <c r="AS577" s="323">
        <v>7.8121135767630287E-2</v>
      </c>
      <c r="AT577" s="323">
        <v>5.7320491191795997E-2</v>
      </c>
      <c r="AU577" s="190">
        <v>175413859538426.31</v>
      </c>
      <c r="AV577" s="190">
        <v>249875533235646</v>
      </c>
      <c r="AW577" s="190">
        <v>1471397674506790.8</v>
      </c>
      <c r="AX577" s="190">
        <v>359584847811086</v>
      </c>
      <c r="AY577" s="203">
        <v>18.899999999999999</v>
      </c>
      <c r="AZ577" s="239">
        <v>357</v>
      </c>
      <c r="BB577" s="204">
        <v>39629</v>
      </c>
      <c r="BC577" s="203" t="s">
        <v>2299</v>
      </c>
    </row>
    <row r="578" spans="1:55" x14ac:dyDescent="0.2">
      <c r="A578" s="184" t="s">
        <v>2301</v>
      </c>
      <c r="B578" s="184" t="s">
        <v>2300</v>
      </c>
      <c r="C578" s="184" t="s">
        <v>934</v>
      </c>
      <c r="D578" s="185" t="s">
        <v>1043</v>
      </c>
      <c r="E578" s="184" t="s">
        <v>2196</v>
      </c>
      <c r="F578" s="184" t="s">
        <v>2302</v>
      </c>
      <c r="G578" s="186">
        <f>IF(ALECA_Input!$F$13="ICAO (3000ft)",'Aircraft Calc'!C$211,'Aircraft Calc'!G$211)</f>
        <v>0.7</v>
      </c>
      <c r="H578" s="186">
        <f>IF(ALECA_Input!$F$13="ICAO (3000ft)",'Aircraft Calc'!D$211,'Aircraft Calc'!H$211)</f>
        <v>2.2000000000000002</v>
      </c>
      <c r="I578" s="186">
        <f>IF(ALECA_Input!$F$13="ICAO (3000ft)",'Aircraft Calc'!E$211,'Aircraft Calc'!I$211)</f>
        <v>4</v>
      </c>
      <c r="J578" s="189">
        <v>1</v>
      </c>
      <c r="K578" s="187">
        <f t="shared" si="145"/>
        <v>678.96</v>
      </c>
      <c r="L578" s="187">
        <f t="shared" si="146"/>
        <v>15.726278400000004</v>
      </c>
      <c r="M578" s="187">
        <f t="shared" si="147"/>
        <v>2.0400000000000001E-3</v>
      </c>
      <c r="N578" s="187">
        <f t="shared" si="148"/>
        <v>0.26292959999999999</v>
      </c>
      <c r="O578" s="187">
        <f t="shared" si="149"/>
        <v>6.325244351208302E-2</v>
      </c>
      <c r="P578" s="188">
        <f t="shared" si="150"/>
        <v>4.3658174035298342E+17</v>
      </c>
      <c r="Q578" s="187">
        <f t="shared" si="151"/>
        <v>16800</v>
      </c>
      <c r="R578" s="219">
        <f t="shared" si="152"/>
        <v>79.128</v>
      </c>
      <c r="S578" s="219">
        <f t="shared" si="153"/>
        <v>24.527999999999999</v>
      </c>
      <c r="T578" s="219">
        <f t="shared" si="154"/>
        <v>301.39200000000005</v>
      </c>
      <c r="U578" s="219">
        <f t="shared" si="155"/>
        <v>1.5644473421712348</v>
      </c>
      <c r="V578" s="188">
        <f t="shared" si="156"/>
        <v>2.9799263428480376E+16</v>
      </c>
      <c r="W578" s="323">
        <v>3.2</v>
      </c>
      <c r="X578" s="323">
        <v>2.58</v>
      </c>
      <c r="Y578" s="323">
        <v>0.85</v>
      </c>
      <c r="Z578" s="323">
        <v>0.28000000000000003</v>
      </c>
      <c r="AA578" s="323">
        <v>34.380000000000003</v>
      </c>
      <c r="AB578" s="323">
        <v>26.44</v>
      </c>
      <c r="AC578" s="323">
        <v>10.3</v>
      </c>
      <c r="AD578" s="323">
        <v>4.71</v>
      </c>
      <c r="AE578" s="323">
        <v>0</v>
      </c>
      <c r="AF578" s="323">
        <v>0</v>
      </c>
      <c r="AG578" s="323">
        <v>0.01</v>
      </c>
      <c r="AH578" s="323">
        <v>1.46</v>
      </c>
      <c r="AI578" s="323">
        <v>0.2</v>
      </c>
      <c r="AJ578" s="323">
        <v>0.16</v>
      </c>
      <c r="AK578" s="323">
        <v>0.89</v>
      </c>
      <c r="AL578" s="323">
        <v>17.940000000000001</v>
      </c>
      <c r="AM578" s="323">
        <v>5.2602101024667343E-2</v>
      </c>
      <c r="AN578" s="323">
        <v>5.0529675881634518E-2</v>
      </c>
      <c r="AO578" s="323">
        <v>2.7537760373128821E-2</v>
      </c>
      <c r="AP578" s="323">
        <v>3.5153665605430637E-2</v>
      </c>
      <c r="AQ578" s="323">
        <v>0.10156210102466734</v>
      </c>
      <c r="AR578" s="323">
        <v>9.9489675881634515E-2</v>
      </c>
      <c r="AS578" s="323">
        <v>7.7060260373128811E-2</v>
      </c>
      <c r="AT578" s="323">
        <v>9.3121865605430634E-2</v>
      </c>
      <c r="AU578" s="190">
        <v>331771238861440.13</v>
      </c>
      <c r="AV578" s="190">
        <v>318700067867164.38</v>
      </c>
      <c r="AW578" s="190">
        <v>1389486229103747</v>
      </c>
      <c r="AX578" s="190">
        <v>1773765680266689</v>
      </c>
      <c r="AY578" s="203">
        <v>17.8</v>
      </c>
      <c r="AZ578" s="239">
        <v>316.3</v>
      </c>
      <c r="BA578" s="203">
        <v>1994</v>
      </c>
      <c r="BB578" s="204">
        <v>36574</v>
      </c>
      <c r="BC578" s="203" t="s">
        <v>3152</v>
      </c>
    </row>
    <row r="579" spans="1:55" x14ac:dyDescent="0.2">
      <c r="A579" s="184" t="s">
        <v>2304</v>
      </c>
      <c r="B579" s="184" t="s">
        <v>2303</v>
      </c>
      <c r="C579" s="184" t="s">
        <v>934</v>
      </c>
      <c r="D579" s="185" t="s">
        <v>1043</v>
      </c>
      <c r="E579" s="184" t="s">
        <v>3158</v>
      </c>
      <c r="F579" s="184" t="s">
        <v>2305</v>
      </c>
      <c r="G579" s="186">
        <f>IF(ALECA_Input!$F$13="ICAO (3000ft)",'Aircraft Calc'!C$211,'Aircraft Calc'!G$211)</f>
        <v>0.7</v>
      </c>
      <c r="H579" s="186">
        <f>IF(ALECA_Input!$F$13="ICAO (3000ft)",'Aircraft Calc'!D$211,'Aircraft Calc'!H$211)</f>
        <v>2.2000000000000002</v>
      </c>
      <c r="I579" s="186">
        <f>IF(ALECA_Input!$F$13="ICAO (3000ft)",'Aircraft Calc'!E$211,'Aircraft Calc'!I$211)</f>
        <v>4</v>
      </c>
      <c r="J579" s="189">
        <v>1</v>
      </c>
      <c r="K579" s="187">
        <f t="shared" si="145"/>
        <v>680.64</v>
      </c>
      <c r="L579" s="187">
        <f t="shared" si="146"/>
        <v>15.547901999999999</v>
      </c>
      <c r="M579" s="187">
        <f t="shared" si="147"/>
        <v>6.8064000000000004E-5</v>
      </c>
      <c r="N579" s="187">
        <f t="shared" si="148"/>
        <v>0.2606484</v>
      </c>
      <c r="O579" s="187">
        <f t="shared" si="149"/>
        <v>5.450653251894623E-2</v>
      </c>
      <c r="P579" s="188">
        <f t="shared" si="150"/>
        <v>2.407878917355624E+17</v>
      </c>
      <c r="Q579" s="187">
        <f t="shared" si="151"/>
        <v>16800</v>
      </c>
      <c r="R579" s="219">
        <f t="shared" si="152"/>
        <v>77.951999999999998</v>
      </c>
      <c r="S579" s="219">
        <f t="shared" si="153"/>
        <v>29.904000000000003</v>
      </c>
      <c r="T579" s="219">
        <f t="shared" si="154"/>
        <v>330.28800000000001</v>
      </c>
      <c r="U579" s="219">
        <f t="shared" si="155"/>
        <v>1.2531143163549401</v>
      </c>
      <c r="V579" s="188">
        <f t="shared" si="156"/>
        <v>1.2416509979710046E+16</v>
      </c>
      <c r="W579" s="323">
        <v>3.1</v>
      </c>
      <c r="X579" s="323">
        <v>2.57</v>
      </c>
      <c r="Y579" s="323">
        <v>0.88</v>
      </c>
      <c r="Z579" s="323">
        <v>0.28000000000000003</v>
      </c>
      <c r="AA579" s="323">
        <v>33.32</v>
      </c>
      <c r="AB579" s="323">
        <v>26.55</v>
      </c>
      <c r="AC579" s="323">
        <v>10.43</v>
      </c>
      <c r="AD579" s="323">
        <v>4.6399999999999997</v>
      </c>
      <c r="AE579" s="323">
        <v>1E-4</v>
      </c>
      <c r="AF579" s="323">
        <v>1E-4</v>
      </c>
      <c r="AG579" s="323">
        <v>1E-4</v>
      </c>
      <c r="AH579" s="323">
        <v>1.78</v>
      </c>
      <c r="AI579" s="323">
        <v>0.19</v>
      </c>
      <c r="AJ579" s="323">
        <v>0.16</v>
      </c>
      <c r="AK579" s="323">
        <v>0.86</v>
      </c>
      <c r="AL579" s="323">
        <v>19.66</v>
      </c>
      <c r="AM579" s="323">
        <v>3.9192633553897308E-2</v>
      </c>
      <c r="AN579" s="323">
        <v>4.022443294638782E-2</v>
      </c>
      <c r="AO579" s="323">
        <v>1.1498660385872137E-2</v>
      </c>
      <c r="AP579" s="323">
        <v>1.4647537878270236E-2</v>
      </c>
      <c r="AQ579" s="323">
        <v>8.8164133553897309E-2</v>
      </c>
      <c r="AR579" s="323">
        <v>8.9192032946387834E-2</v>
      </c>
      <c r="AS579" s="323">
        <v>6.0464285385872132E-2</v>
      </c>
      <c r="AT579" s="323">
        <v>7.4590137878270235E-2</v>
      </c>
      <c r="AU579" s="190">
        <v>247195232417072.25</v>
      </c>
      <c r="AV579" s="190">
        <v>253702983172931.41</v>
      </c>
      <c r="AW579" s="190">
        <v>580193524920806.63</v>
      </c>
      <c r="AX579" s="190">
        <v>739077974982740.75</v>
      </c>
      <c r="AY579" s="203">
        <v>17.600000000000001</v>
      </c>
      <c r="AZ579" s="239">
        <v>351.85</v>
      </c>
      <c r="BA579" s="203">
        <v>1994</v>
      </c>
      <c r="BB579" s="204">
        <v>39296</v>
      </c>
      <c r="BC579" s="203" t="s">
        <v>1109</v>
      </c>
    </row>
    <row r="580" spans="1:55" x14ac:dyDescent="0.2">
      <c r="A580" s="184" t="s">
        <v>2307</v>
      </c>
      <c r="B580" s="184" t="s">
        <v>2306</v>
      </c>
      <c r="C580" s="184" t="s">
        <v>934</v>
      </c>
      <c r="D580" s="185" t="s">
        <v>1043</v>
      </c>
      <c r="E580" s="184" t="s">
        <v>3159</v>
      </c>
      <c r="F580" s="184" t="s">
        <v>2308</v>
      </c>
      <c r="G580" s="186">
        <f>IF(ALECA_Input!$F$13="ICAO (3000ft)",'Aircraft Calc'!C$211,'Aircraft Calc'!G$211)</f>
        <v>0.7</v>
      </c>
      <c r="H580" s="186">
        <f>IF(ALECA_Input!$F$13="ICAO (3000ft)",'Aircraft Calc'!D$211,'Aircraft Calc'!H$211)</f>
        <v>2.2000000000000002</v>
      </c>
      <c r="I580" s="186">
        <f>IF(ALECA_Input!$F$13="ICAO (3000ft)",'Aircraft Calc'!E$211,'Aircraft Calc'!I$211)</f>
        <v>4</v>
      </c>
      <c r="J580" s="189">
        <v>1</v>
      </c>
      <c r="K580" s="187">
        <f t="shared" si="145"/>
        <v>701.94</v>
      </c>
      <c r="L580" s="187">
        <f t="shared" si="146"/>
        <v>16.661184000000002</v>
      </c>
      <c r="M580" s="187">
        <f t="shared" si="147"/>
        <v>7.0194000000000013E-5</v>
      </c>
      <c r="N580" s="187">
        <f t="shared" si="148"/>
        <v>0.25594320000000004</v>
      </c>
      <c r="O580" s="187">
        <f t="shared" si="149"/>
        <v>5.6263680737220517E-2</v>
      </c>
      <c r="P580" s="188">
        <f t="shared" si="150"/>
        <v>2.4772885406904358E+17</v>
      </c>
      <c r="Q580" s="187">
        <f t="shared" si="151"/>
        <v>16800</v>
      </c>
      <c r="R580" s="219">
        <f t="shared" si="152"/>
        <v>79.8</v>
      </c>
      <c r="S580" s="219">
        <f t="shared" si="153"/>
        <v>26.040000000000003</v>
      </c>
      <c r="T580" s="219">
        <f t="shared" si="154"/>
        <v>309.45600000000002</v>
      </c>
      <c r="U580" s="219">
        <f t="shared" si="155"/>
        <v>1.2292734363549398</v>
      </c>
      <c r="V580" s="188">
        <f t="shared" si="156"/>
        <v>1.2416509979710046E+16</v>
      </c>
      <c r="W580" s="323">
        <v>3.21</v>
      </c>
      <c r="X580" s="323">
        <v>2.66</v>
      </c>
      <c r="Y580" s="323">
        <v>0.9</v>
      </c>
      <c r="Z580" s="323">
        <v>0.28000000000000003</v>
      </c>
      <c r="AA580" s="323">
        <v>34.76</v>
      </c>
      <c r="AB580" s="323">
        <v>27.59</v>
      </c>
      <c r="AC580" s="323">
        <v>10.59</v>
      </c>
      <c r="AD580" s="323">
        <v>4.75</v>
      </c>
      <c r="AE580" s="323">
        <v>1E-4</v>
      </c>
      <c r="AF580" s="323">
        <v>1E-4</v>
      </c>
      <c r="AG580" s="323">
        <v>1E-4</v>
      </c>
      <c r="AH580" s="323">
        <v>1.55</v>
      </c>
      <c r="AI580" s="323">
        <v>0.2</v>
      </c>
      <c r="AJ580" s="323">
        <v>0.16</v>
      </c>
      <c r="AK580" s="323">
        <v>0.8</v>
      </c>
      <c r="AL580" s="323">
        <v>18.420000000000002</v>
      </c>
      <c r="AM580" s="323">
        <v>3.9192633553897308E-2</v>
      </c>
      <c r="AN580" s="323">
        <v>4.022443294638782E-2</v>
      </c>
      <c r="AO580" s="323">
        <v>1.1498660385872137E-2</v>
      </c>
      <c r="AP580" s="323">
        <v>1.4647537878270236E-2</v>
      </c>
      <c r="AQ580" s="323">
        <v>8.8164133553897309E-2</v>
      </c>
      <c r="AR580" s="323">
        <v>8.9192032946387834E-2</v>
      </c>
      <c r="AS580" s="323">
        <v>6.0464285385872132E-2</v>
      </c>
      <c r="AT580" s="323">
        <v>7.3171037878270229E-2</v>
      </c>
      <c r="AU580" s="190">
        <v>247195232417072.25</v>
      </c>
      <c r="AV580" s="190">
        <v>253702983172931.41</v>
      </c>
      <c r="AW580" s="190">
        <v>580193524920806.63</v>
      </c>
      <c r="AX580" s="190">
        <v>739077974982740.75</v>
      </c>
      <c r="AY580" s="203">
        <v>18.7</v>
      </c>
      <c r="AZ580" s="239">
        <v>361.64</v>
      </c>
      <c r="BA580" s="203">
        <v>1994</v>
      </c>
      <c r="BB580" s="204">
        <v>39296</v>
      </c>
      <c r="BC580" s="203" t="s">
        <v>1109</v>
      </c>
    </row>
    <row r="581" spans="1:55" x14ac:dyDescent="0.2">
      <c r="A581" s="184" t="s">
        <v>2310</v>
      </c>
      <c r="B581" s="184" t="s">
        <v>2309</v>
      </c>
      <c r="C581" s="184" t="s">
        <v>934</v>
      </c>
      <c r="D581" s="185" t="s">
        <v>1043</v>
      </c>
      <c r="E581" s="184" t="s">
        <v>3160</v>
      </c>
      <c r="F581" s="184" t="s">
        <v>2311</v>
      </c>
      <c r="G581" s="186">
        <f>IF(ALECA_Input!$F$13="ICAO (3000ft)",'Aircraft Calc'!C$211,'Aircraft Calc'!G$211)</f>
        <v>0.7</v>
      </c>
      <c r="H581" s="186">
        <f>IF(ALECA_Input!$F$13="ICAO (3000ft)",'Aircraft Calc'!D$211,'Aircraft Calc'!H$211)</f>
        <v>2.2000000000000002</v>
      </c>
      <c r="I581" s="186">
        <f>IF(ALECA_Input!$F$13="ICAO (3000ft)",'Aircraft Calc'!E$211,'Aircraft Calc'!I$211)</f>
        <v>4</v>
      </c>
      <c r="J581" s="189">
        <v>1</v>
      </c>
      <c r="K581" s="187">
        <f t="shared" si="145"/>
        <v>763.8</v>
      </c>
      <c r="L581" s="187">
        <f t="shared" si="146"/>
        <v>20.250104400000005</v>
      </c>
      <c r="M581" s="187">
        <f t="shared" si="147"/>
        <v>7.6379999999999997E-5</v>
      </c>
      <c r="N581" s="187">
        <f t="shared" si="148"/>
        <v>0.25587119999999997</v>
      </c>
      <c r="O581" s="187">
        <f t="shared" si="149"/>
        <v>6.1283363615197789E-2</v>
      </c>
      <c r="P581" s="188">
        <f t="shared" si="150"/>
        <v>2.688122977733743E+17</v>
      </c>
      <c r="Q581" s="187">
        <f t="shared" si="151"/>
        <v>18600</v>
      </c>
      <c r="R581" s="219">
        <f t="shared" si="152"/>
        <v>93.744000000000014</v>
      </c>
      <c r="S581" s="219">
        <f t="shared" si="153"/>
        <v>18.600000000000001</v>
      </c>
      <c r="T581" s="219">
        <f t="shared" si="154"/>
        <v>282.53399999999999</v>
      </c>
      <c r="U581" s="219">
        <f t="shared" si="155"/>
        <v>1.2978622045358266</v>
      </c>
      <c r="V581" s="188">
        <f t="shared" si="156"/>
        <v>1.374685033467898E+16</v>
      </c>
      <c r="W581" s="323">
        <v>3.56</v>
      </c>
      <c r="X581" s="323">
        <v>2.89</v>
      </c>
      <c r="Y581" s="323">
        <v>0.97</v>
      </c>
      <c r="Z581" s="323">
        <v>0.31</v>
      </c>
      <c r="AA581" s="323">
        <v>40.050000000000004</v>
      </c>
      <c r="AB581" s="323">
        <v>30.63</v>
      </c>
      <c r="AC581" s="323">
        <v>11.07</v>
      </c>
      <c r="AD581" s="323">
        <v>5.04</v>
      </c>
      <c r="AE581" s="323">
        <v>1E-4</v>
      </c>
      <c r="AF581" s="323">
        <v>1E-4</v>
      </c>
      <c r="AG581" s="323">
        <v>1E-4</v>
      </c>
      <c r="AH581" s="323">
        <v>1</v>
      </c>
      <c r="AI581" s="323">
        <v>0.24</v>
      </c>
      <c r="AJ581" s="323">
        <v>0.18</v>
      </c>
      <c r="AK581" s="323">
        <v>0.65</v>
      </c>
      <c r="AL581" s="323">
        <v>15.19</v>
      </c>
      <c r="AM581" s="323">
        <v>3.9192633553897308E-2</v>
      </c>
      <c r="AN581" s="323">
        <v>4.022443294638782E-2</v>
      </c>
      <c r="AO581" s="323">
        <v>1.1498660385872137E-2</v>
      </c>
      <c r="AP581" s="323">
        <v>1.4647537878270236E-2</v>
      </c>
      <c r="AQ581" s="323">
        <v>8.8164133553897309E-2</v>
      </c>
      <c r="AR581" s="323">
        <v>8.9192032946387834E-2</v>
      </c>
      <c r="AS581" s="323">
        <v>6.0464285385872132E-2</v>
      </c>
      <c r="AT581" s="323">
        <v>6.9777537878270235E-2</v>
      </c>
      <c r="AU581" s="190">
        <v>247195232417072.25</v>
      </c>
      <c r="AV581" s="190">
        <v>253702983172931.41</v>
      </c>
      <c r="AW581" s="190">
        <v>580193524920806.63</v>
      </c>
      <c r="AX581" s="190">
        <v>739077974982740.75</v>
      </c>
      <c r="AY581" s="203">
        <v>22.7</v>
      </c>
      <c r="AZ581" s="239">
        <v>390.1</v>
      </c>
      <c r="BA581" s="203">
        <v>1994</v>
      </c>
      <c r="BB581" s="204">
        <v>39296</v>
      </c>
      <c r="BC581" s="203" t="s">
        <v>1109</v>
      </c>
    </row>
    <row r="582" spans="1:55" x14ac:dyDescent="0.2">
      <c r="A582" s="184" t="s">
        <v>667</v>
      </c>
      <c r="B582" s="184" t="s">
        <v>2312</v>
      </c>
      <c r="C582" s="184" t="s">
        <v>934</v>
      </c>
      <c r="D582" s="185" t="s">
        <v>1043</v>
      </c>
      <c r="E582" s="184" t="s">
        <v>3161</v>
      </c>
      <c r="F582" s="184" t="s">
        <v>2313</v>
      </c>
      <c r="G582" s="186">
        <f>IF(ALECA_Input!$F$13="ICAO (3000ft)",'Aircraft Calc'!C$211,'Aircraft Calc'!G$211)</f>
        <v>0.7</v>
      </c>
      <c r="H582" s="186">
        <f>IF(ALECA_Input!$F$13="ICAO (3000ft)",'Aircraft Calc'!D$211,'Aircraft Calc'!H$211)</f>
        <v>2.2000000000000002</v>
      </c>
      <c r="I582" s="186">
        <f>IF(ALECA_Input!$F$13="ICAO (3000ft)",'Aircraft Calc'!E$211,'Aircraft Calc'!I$211)</f>
        <v>4</v>
      </c>
      <c r="J582" s="189">
        <v>1</v>
      </c>
      <c r="K582" s="187">
        <f t="shared" si="145"/>
        <v>816.30000000000007</v>
      </c>
      <c r="L582" s="187">
        <f t="shared" si="146"/>
        <v>23.632830600000002</v>
      </c>
      <c r="M582" s="187">
        <f t="shared" si="147"/>
        <v>1.690776E-3</v>
      </c>
      <c r="N582" s="187">
        <f t="shared" si="148"/>
        <v>0.25709220000000005</v>
      </c>
      <c r="O582" s="187">
        <f t="shared" si="149"/>
        <v>6.5723934319921504E-2</v>
      </c>
      <c r="P582" s="188">
        <f t="shared" si="150"/>
        <v>2.8674843727628134E+17</v>
      </c>
      <c r="Q582" s="187">
        <f t="shared" si="151"/>
        <v>18000</v>
      </c>
      <c r="R582" s="219">
        <f t="shared" si="152"/>
        <v>94.679999999999993</v>
      </c>
      <c r="S582" s="219">
        <f t="shared" si="153"/>
        <v>13.32</v>
      </c>
      <c r="T582" s="219">
        <f>J582*Z582*60*AL582</f>
        <v>241.74</v>
      </c>
      <c r="U582" s="219">
        <f t="shared" si="155"/>
        <v>1.2271200818088643</v>
      </c>
      <c r="V582" s="188">
        <f t="shared" si="156"/>
        <v>1.3303403549689334E+16</v>
      </c>
      <c r="W582" s="323">
        <v>3.87</v>
      </c>
      <c r="X582" s="323">
        <v>3.08</v>
      </c>
      <c r="Y582" s="323">
        <v>1.03</v>
      </c>
      <c r="Z582" s="323">
        <v>0.3</v>
      </c>
      <c r="AA582" s="323">
        <v>45.11</v>
      </c>
      <c r="AB582" s="323">
        <v>33.119999999999997</v>
      </c>
      <c r="AC582" s="323">
        <v>11.47</v>
      </c>
      <c r="AD582" s="323">
        <v>5.26</v>
      </c>
      <c r="AE582" s="323">
        <v>0.01</v>
      </c>
      <c r="AF582" s="323">
        <v>1E-4</v>
      </c>
      <c r="AG582" s="323">
        <v>1E-4</v>
      </c>
      <c r="AH582" s="323">
        <v>0.74</v>
      </c>
      <c r="AI582" s="323">
        <v>0.27</v>
      </c>
      <c r="AJ582" s="323">
        <v>0.19</v>
      </c>
      <c r="AK582" s="323">
        <v>0.55000000000000004</v>
      </c>
      <c r="AL582" s="323">
        <v>13.43</v>
      </c>
      <c r="AM582" s="323">
        <v>3.9192633553897308E-2</v>
      </c>
      <c r="AN582" s="323">
        <v>4.022443294638782E-2</v>
      </c>
      <c r="AO582" s="323">
        <v>1.1498660385872137E-2</v>
      </c>
      <c r="AP582" s="323">
        <v>1.4647537878270236E-2</v>
      </c>
      <c r="AQ582" s="323">
        <v>8.9302633553897309E-2</v>
      </c>
      <c r="AR582" s="323">
        <v>8.9192032946387834E-2</v>
      </c>
      <c r="AS582" s="323">
        <v>6.0464285385872132E-2</v>
      </c>
      <c r="AT582" s="323">
        <v>6.8173337878270235E-2</v>
      </c>
      <c r="AU582" s="190">
        <v>247195232417072.25</v>
      </c>
      <c r="AV582" s="190">
        <v>253702983172931.41</v>
      </c>
      <c r="AW582" s="190">
        <v>580193524920806.63</v>
      </c>
      <c r="AX582" s="190">
        <v>739077974982740.75</v>
      </c>
      <c r="AY582" s="203">
        <v>26.1</v>
      </c>
      <c r="AZ582" s="239">
        <v>412.79</v>
      </c>
      <c r="BA582" s="203">
        <v>1994</v>
      </c>
      <c r="BB582" s="204">
        <v>39296</v>
      </c>
      <c r="BC582" s="203" t="s">
        <v>1109</v>
      </c>
    </row>
    <row r="583" spans="1:55" x14ac:dyDescent="0.2">
      <c r="A583" s="184" t="s">
        <v>667</v>
      </c>
      <c r="B583" s="184" t="s">
        <v>2314</v>
      </c>
      <c r="C583" s="184" t="s">
        <v>934</v>
      </c>
      <c r="D583" s="185" t="s">
        <v>1043</v>
      </c>
      <c r="E583" s="184" t="s">
        <v>3162</v>
      </c>
      <c r="F583" s="184" t="s">
        <v>2315</v>
      </c>
      <c r="G583" s="186">
        <f>IF(ALECA_Input!$F$13="ICAO (3000ft)",'Aircraft Calc'!C$211,'Aircraft Calc'!G$211)</f>
        <v>0.7</v>
      </c>
      <c r="H583" s="186">
        <f>IF(ALECA_Input!$F$13="ICAO (3000ft)",'Aircraft Calc'!D$211,'Aircraft Calc'!H$211)</f>
        <v>2.2000000000000002</v>
      </c>
      <c r="I583" s="186">
        <f>IF(ALECA_Input!$F$13="ICAO (3000ft)",'Aircraft Calc'!E$211,'Aircraft Calc'!I$211)</f>
        <v>4</v>
      </c>
      <c r="J583" s="189">
        <v>1</v>
      </c>
      <c r="K583" s="187">
        <f t="shared" si="145"/>
        <v>813.42000000000007</v>
      </c>
      <c r="L583" s="187">
        <f t="shared" si="146"/>
        <v>23.910413999999999</v>
      </c>
      <c r="M583" s="187">
        <f t="shared" si="147"/>
        <v>1.7071200000000001E-3</v>
      </c>
      <c r="N583" s="187">
        <f t="shared" si="148"/>
        <v>0.26462160000000007</v>
      </c>
      <c r="O583" s="187">
        <f t="shared" si="149"/>
        <v>6.5674086856492245E-2</v>
      </c>
      <c r="P583" s="188">
        <f t="shared" si="150"/>
        <v>2.836561077628887E+17</v>
      </c>
      <c r="Q583" s="187">
        <f t="shared" si="151"/>
        <v>18000</v>
      </c>
      <c r="R583" s="219">
        <f t="shared" si="152"/>
        <v>95.94</v>
      </c>
      <c r="S583" s="219">
        <f t="shared" si="153"/>
        <v>12.600000000000001</v>
      </c>
      <c r="T583" s="219">
        <f t="shared" si="154"/>
        <v>235.26</v>
      </c>
      <c r="U583" s="219">
        <f t="shared" si="155"/>
        <v>1.2226776818088645</v>
      </c>
      <c r="V583" s="188">
        <f t="shared" si="156"/>
        <v>1.3303403549689334E+16</v>
      </c>
      <c r="W583" s="323">
        <v>3.91</v>
      </c>
      <c r="X583" s="323">
        <v>3.1</v>
      </c>
      <c r="Y583" s="323">
        <v>1</v>
      </c>
      <c r="Z583" s="323">
        <v>0.3</v>
      </c>
      <c r="AA583" s="323">
        <v>45.7</v>
      </c>
      <c r="AB583" s="323">
        <v>33.299999999999997</v>
      </c>
      <c r="AC583" s="323">
        <v>11.58</v>
      </c>
      <c r="AD583" s="323">
        <v>5.33</v>
      </c>
      <c r="AE583" s="323">
        <v>0.01</v>
      </c>
      <c r="AF583" s="323">
        <v>1E-4</v>
      </c>
      <c r="AG583" s="323">
        <v>1E-4</v>
      </c>
      <c r="AH583" s="323">
        <v>0.70000000000000007</v>
      </c>
      <c r="AI583" s="323">
        <v>0.28000000000000003</v>
      </c>
      <c r="AJ583" s="323">
        <v>0.2</v>
      </c>
      <c r="AK583" s="323">
        <v>0.57000000000000006</v>
      </c>
      <c r="AL583" s="323">
        <v>13.07</v>
      </c>
      <c r="AM583" s="323">
        <v>3.9192633553897308E-2</v>
      </c>
      <c r="AN583" s="323">
        <v>4.022443294638782E-2</v>
      </c>
      <c r="AO583" s="323">
        <v>1.1498660385872137E-2</v>
      </c>
      <c r="AP583" s="323">
        <v>1.4647537878270236E-2</v>
      </c>
      <c r="AQ583" s="323">
        <v>8.9302633553897309E-2</v>
      </c>
      <c r="AR583" s="323">
        <v>8.9192032946387834E-2</v>
      </c>
      <c r="AS583" s="323">
        <v>6.0464285385872132E-2</v>
      </c>
      <c r="AT583" s="323">
        <v>6.7926537878270243E-2</v>
      </c>
      <c r="AU583" s="190">
        <v>247195232417072.25</v>
      </c>
      <c r="AV583" s="190">
        <v>253702983172931.41</v>
      </c>
      <c r="AW583" s="190">
        <v>580193524920806.63</v>
      </c>
      <c r="AX583" s="190">
        <v>739077974982740.75</v>
      </c>
      <c r="AY583" s="203">
        <v>26.4</v>
      </c>
      <c r="AZ583" s="239">
        <v>411.48</v>
      </c>
      <c r="BA583" s="203">
        <v>1994</v>
      </c>
      <c r="BB583" s="204">
        <v>39296</v>
      </c>
      <c r="BC583" s="203" t="s">
        <v>1109</v>
      </c>
    </row>
    <row r="584" spans="1:55" x14ac:dyDescent="0.2">
      <c r="A584" s="184" t="s">
        <v>2317</v>
      </c>
      <c r="B584" s="184" t="s">
        <v>2316</v>
      </c>
      <c r="C584" s="184" t="s">
        <v>934</v>
      </c>
      <c r="D584" s="185" t="s">
        <v>1043</v>
      </c>
      <c r="E584" s="184" t="s">
        <v>3163</v>
      </c>
      <c r="F584" s="184" t="s">
        <v>2318</v>
      </c>
      <c r="G584" s="186">
        <f>IF(ALECA_Input!$F$13="ICAO (3000ft)",'Aircraft Calc'!C$211,'Aircraft Calc'!G$211)</f>
        <v>0.7</v>
      </c>
      <c r="H584" s="186">
        <f>IF(ALECA_Input!$F$13="ICAO (3000ft)",'Aircraft Calc'!D$211,'Aircraft Calc'!H$211)</f>
        <v>2.2000000000000002</v>
      </c>
      <c r="I584" s="186">
        <f>IF(ALECA_Input!$F$13="ICAO (3000ft)",'Aircraft Calc'!E$211,'Aircraft Calc'!I$211)</f>
        <v>4</v>
      </c>
      <c r="J584" s="189">
        <v>1</v>
      </c>
      <c r="K584" s="187">
        <f t="shared" si="145"/>
        <v>842.34</v>
      </c>
      <c r="L584" s="187">
        <f t="shared" si="146"/>
        <v>25.398048600000003</v>
      </c>
      <c r="M584" s="187">
        <f t="shared" si="147"/>
        <v>3.3852000000000005E-3</v>
      </c>
      <c r="N584" s="187">
        <f t="shared" si="148"/>
        <v>0.26178540000000006</v>
      </c>
      <c r="O584" s="187">
        <f t="shared" si="149"/>
        <v>6.8099376197637423E-2</v>
      </c>
      <c r="P584" s="188">
        <f t="shared" si="150"/>
        <v>2.9487828547341491E+17</v>
      </c>
      <c r="Q584" s="187">
        <f t="shared" si="151"/>
        <v>19800</v>
      </c>
      <c r="R584" s="219">
        <f t="shared" si="152"/>
        <v>101.17800000000001</v>
      </c>
      <c r="S584" s="219">
        <f t="shared" si="153"/>
        <v>17.622</v>
      </c>
      <c r="T584" s="219">
        <f t="shared" si="154"/>
        <v>291.25800000000004</v>
      </c>
      <c r="U584" s="219">
        <f t="shared" si="155"/>
        <v>1.3681569899897505</v>
      </c>
      <c r="V584" s="188">
        <f t="shared" si="156"/>
        <v>1.4633743904658268E+16</v>
      </c>
      <c r="W584" s="323">
        <v>4.03</v>
      </c>
      <c r="X584" s="323">
        <v>3.19</v>
      </c>
      <c r="Y584" s="323">
        <v>1.05</v>
      </c>
      <c r="Z584" s="323">
        <v>0.33</v>
      </c>
      <c r="AA584" s="323">
        <v>47.79</v>
      </c>
      <c r="AB584" s="323">
        <v>34.29</v>
      </c>
      <c r="AC584" s="323">
        <v>11.39</v>
      </c>
      <c r="AD584" s="323">
        <v>5.1100000000000003</v>
      </c>
      <c r="AE584" s="323">
        <v>0.02</v>
      </c>
      <c r="AF584" s="323">
        <v>0</v>
      </c>
      <c r="AG584" s="323">
        <v>0</v>
      </c>
      <c r="AH584" s="323">
        <v>0.89</v>
      </c>
      <c r="AI584" s="323">
        <v>0.27</v>
      </c>
      <c r="AJ584" s="323">
        <v>0.19</v>
      </c>
      <c r="AK584" s="323">
        <v>0.54</v>
      </c>
      <c r="AL584" s="323">
        <v>14.71</v>
      </c>
      <c r="AM584" s="323">
        <v>3.9192633553897308E-2</v>
      </c>
      <c r="AN584" s="323">
        <v>4.022443294638782E-2</v>
      </c>
      <c r="AO584" s="323">
        <v>1.1498660385872137E-2</v>
      </c>
      <c r="AP584" s="323">
        <v>1.4647537878270236E-2</v>
      </c>
      <c r="AQ584" s="323">
        <v>9.0452633553897308E-2</v>
      </c>
      <c r="AR584" s="323">
        <v>8.9184432946387823E-2</v>
      </c>
      <c r="AS584" s="323">
        <v>6.0458660385872137E-2</v>
      </c>
      <c r="AT584" s="323">
        <v>6.9098837878270231E-2</v>
      </c>
      <c r="AU584" s="190">
        <v>247195232417072.25</v>
      </c>
      <c r="AV584" s="190">
        <v>253702983172931.41</v>
      </c>
      <c r="AW584" s="190">
        <v>580193524920806.63</v>
      </c>
      <c r="AX584" s="190">
        <v>739077974982740.75</v>
      </c>
      <c r="AY584" s="203">
        <v>28</v>
      </c>
      <c r="AZ584" s="239">
        <v>413.05</v>
      </c>
      <c r="BA584" s="203">
        <v>1994</v>
      </c>
      <c r="BB584" s="204">
        <v>39296</v>
      </c>
      <c r="BC584" s="203" t="s">
        <v>1109</v>
      </c>
    </row>
    <row r="585" spans="1:55" x14ac:dyDescent="0.2">
      <c r="A585" s="184" t="s">
        <v>669</v>
      </c>
      <c r="B585" s="184" t="s">
        <v>2319</v>
      </c>
      <c r="C585" s="184" t="s">
        <v>1008</v>
      </c>
      <c r="D585" s="185" t="s">
        <v>1043</v>
      </c>
      <c r="E585" s="184" t="s">
        <v>2320</v>
      </c>
      <c r="F585" s="184" t="s">
        <v>2321</v>
      </c>
      <c r="G585" s="186">
        <f>IF(ALECA_Input!$F$13="ICAO (3000ft)",'Aircraft Calc'!C$211,'Aircraft Calc'!G$211)</f>
        <v>0.7</v>
      </c>
      <c r="H585" s="186">
        <f>IF(ALECA_Input!$F$13="ICAO (3000ft)",'Aircraft Calc'!D$211,'Aircraft Calc'!H$211)</f>
        <v>2.2000000000000002</v>
      </c>
      <c r="I585" s="186">
        <f>IF(ALECA_Input!$F$13="ICAO (3000ft)",'Aircraft Calc'!E$211,'Aircraft Calc'!I$211)</f>
        <v>4</v>
      </c>
      <c r="J585" s="189">
        <v>1</v>
      </c>
      <c r="K585" s="187">
        <f t="shared" si="145"/>
        <v>87.63900000000001</v>
      </c>
      <c r="L585" s="187">
        <f t="shared" si="146"/>
        <v>0.92141961000000017</v>
      </c>
      <c r="M585" s="187">
        <f t="shared" si="147"/>
        <v>6.4657895999999998E-3</v>
      </c>
      <c r="N585" s="187">
        <f t="shared" si="148"/>
        <v>0.13120104000000002</v>
      </c>
      <c r="O585" s="187">
        <f t="shared" si="149"/>
        <v>1.1920685279738212E-2</v>
      </c>
      <c r="P585" s="188">
        <f t="shared" si="150"/>
        <v>1.6898628795935536E+17</v>
      </c>
      <c r="Q585" s="187">
        <f t="shared" si="151"/>
        <v>2862</v>
      </c>
      <c r="R585" s="219">
        <f t="shared" si="152"/>
        <v>9.6735600000000002</v>
      </c>
      <c r="S585" s="219">
        <f t="shared" si="153"/>
        <v>19.032300000000003</v>
      </c>
      <c r="T585" s="219">
        <f t="shared" si="154"/>
        <v>130.59306000000001</v>
      </c>
      <c r="U585" s="219">
        <f t="shared" si="155"/>
        <v>0.37081069444632681</v>
      </c>
      <c r="V585" s="188">
        <f t="shared" si="156"/>
        <v>5714708358769414</v>
      </c>
      <c r="W585" s="323">
        <v>0.39989999999999998</v>
      </c>
      <c r="X585" s="323">
        <v>0.3236</v>
      </c>
      <c r="Y585" s="323">
        <v>0.1172</v>
      </c>
      <c r="Z585" s="323">
        <v>4.7699999999999999E-2</v>
      </c>
      <c r="AA585" s="323">
        <v>13.43</v>
      </c>
      <c r="AB585" s="323">
        <v>12.030000000000001</v>
      </c>
      <c r="AC585" s="323">
        <v>6.47</v>
      </c>
      <c r="AD585" s="323">
        <v>3.38</v>
      </c>
      <c r="AE585" s="323">
        <v>0.02</v>
      </c>
      <c r="AF585" s="323">
        <v>2.3E-2</v>
      </c>
      <c r="AG585" s="323">
        <v>0.183</v>
      </c>
      <c r="AH585" s="323">
        <v>6.65</v>
      </c>
      <c r="AI585" s="323">
        <v>0.4</v>
      </c>
      <c r="AJ585" s="323">
        <v>0.3</v>
      </c>
      <c r="AK585" s="323">
        <v>3.97</v>
      </c>
      <c r="AL585" s="323">
        <v>45.63</v>
      </c>
      <c r="AM585" s="323">
        <v>5.2763953879490864E-2</v>
      </c>
      <c r="AN585" s="323">
        <v>8.3008847826659474E-2</v>
      </c>
      <c r="AO585" s="323">
        <v>9.9370320566116804E-2</v>
      </c>
      <c r="AP585" s="323">
        <v>3.9572985131490865E-2</v>
      </c>
      <c r="AQ585" s="323">
        <v>0.10402395387949087</v>
      </c>
      <c r="AR585" s="323">
        <v>0.13371684782665946</v>
      </c>
      <c r="AS585" s="323">
        <v>0.1586240705661168</v>
      </c>
      <c r="AT585" s="323">
        <v>0.12956348513149085</v>
      </c>
      <c r="AU585" s="190">
        <v>332792074932852.56</v>
      </c>
      <c r="AV585" s="190">
        <v>523552248739968.31</v>
      </c>
      <c r="AW585" s="190">
        <v>5013976813560177</v>
      </c>
      <c r="AX585" s="190">
        <v>1996753444713282.3</v>
      </c>
      <c r="AY585" s="203">
        <v>1.2</v>
      </c>
      <c r="AZ585" s="239">
        <v>33.4</v>
      </c>
      <c r="BA585" s="203">
        <v>1982</v>
      </c>
      <c r="BB585" s="204">
        <v>39296</v>
      </c>
      <c r="BC585" s="203" t="s">
        <v>741</v>
      </c>
    </row>
    <row r="586" spans="1:55" x14ac:dyDescent="0.2">
      <c r="A586" s="184" t="s">
        <v>2323</v>
      </c>
      <c r="B586" s="184" t="s">
        <v>2322</v>
      </c>
      <c r="C586" s="184" t="s">
        <v>1008</v>
      </c>
      <c r="D586" s="185" t="s">
        <v>1043</v>
      </c>
      <c r="E586" s="184" t="s">
        <v>2324</v>
      </c>
      <c r="F586" s="184" t="s">
        <v>2325</v>
      </c>
      <c r="G586" s="186">
        <f>IF(ALECA_Input!$F$13="ICAO (3000ft)",'Aircraft Calc'!C$211,'Aircraft Calc'!G$211)</f>
        <v>0.7</v>
      </c>
      <c r="H586" s="186">
        <f>IF(ALECA_Input!$F$13="ICAO (3000ft)",'Aircraft Calc'!D$211,'Aircraft Calc'!H$211)</f>
        <v>2.2000000000000002</v>
      </c>
      <c r="I586" s="186">
        <f>IF(ALECA_Input!$F$13="ICAO (3000ft)",'Aircraft Calc'!E$211,'Aircraft Calc'!I$211)</f>
        <v>4</v>
      </c>
      <c r="J586" s="189">
        <v>1</v>
      </c>
      <c r="K586" s="187">
        <f t="shared" si="145"/>
        <v>77.263199999999998</v>
      </c>
      <c r="L586" s="187">
        <f t="shared" si="146"/>
        <v>0.69297527999999997</v>
      </c>
      <c r="M586" s="187">
        <f t="shared" si="147"/>
        <v>9.9063791999999991E-3</v>
      </c>
      <c r="N586" s="187">
        <f t="shared" si="148"/>
        <v>0.23306829599999998</v>
      </c>
      <c r="O586" s="187">
        <f t="shared" si="149"/>
        <v>1.0298838394968068E-2</v>
      </c>
      <c r="P586" s="188">
        <f t="shared" si="150"/>
        <v>1.169289608330292E+17</v>
      </c>
      <c r="Q586" s="187">
        <f t="shared" si="151"/>
        <v>2592</v>
      </c>
      <c r="R586" s="219">
        <f t="shared" si="152"/>
        <v>8.5536000000000012</v>
      </c>
      <c r="S586" s="219">
        <f t="shared" si="153"/>
        <v>16.873919999999998</v>
      </c>
      <c r="T586" s="219">
        <f t="shared" si="154"/>
        <v>115.78464000000001</v>
      </c>
      <c r="U586" s="219">
        <f t="shared" si="155"/>
        <v>0.29043916360396244</v>
      </c>
      <c r="V586" s="188">
        <f t="shared" si="156"/>
        <v>2998323092056888.5</v>
      </c>
      <c r="W586" s="323">
        <v>0.34760000000000002</v>
      </c>
      <c r="X586" s="323">
        <v>0.28799999999999998</v>
      </c>
      <c r="Y586" s="323">
        <v>0.1027</v>
      </c>
      <c r="Z586" s="323">
        <v>4.3200000000000002E-2</v>
      </c>
      <c r="AA586" s="323">
        <v>11.200000000000001</v>
      </c>
      <c r="AB586" s="323">
        <v>9.94</v>
      </c>
      <c r="AC586" s="323">
        <v>6.15</v>
      </c>
      <c r="AD586" s="323">
        <v>3.3000000000000003</v>
      </c>
      <c r="AE586" s="323">
        <v>5.6000000000000001E-2</v>
      </c>
      <c r="AF586" s="323">
        <v>5.2999999999999999E-2</v>
      </c>
      <c r="AG586" s="323">
        <v>0.28699999999999998</v>
      </c>
      <c r="AH586" s="323">
        <v>6.51</v>
      </c>
      <c r="AI586" s="323">
        <v>0.43</v>
      </c>
      <c r="AJ586" s="323">
        <v>0.5</v>
      </c>
      <c r="AK586" s="323">
        <v>8.43</v>
      </c>
      <c r="AL586" s="323">
        <v>44.67</v>
      </c>
      <c r="AM586" s="323">
        <v>7.3045550738094822E-2</v>
      </c>
      <c r="AN586" s="323">
        <v>7.8778623727492586E-2</v>
      </c>
      <c r="AO586" s="323">
        <v>7.3422545967547742E-2</v>
      </c>
      <c r="AP586" s="323">
        <v>2.2925446452145996E-2</v>
      </c>
      <c r="AQ586" s="323">
        <v>0.12844555073809483</v>
      </c>
      <c r="AR586" s="323">
        <v>0.13176662372749259</v>
      </c>
      <c r="AS586" s="323">
        <v>0.13852629596754773</v>
      </c>
      <c r="AT586" s="323">
        <v>0.11205214645214601</v>
      </c>
      <c r="AU586" s="190">
        <v>460711880126791.25</v>
      </c>
      <c r="AV586" s="190">
        <v>496871438226639.63</v>
      </c>
      <c r="AW586" s="190">
        <v>3704717273493111.5</v>
      </c>
      <c r="AX586" s="190">
        <v>1156760452182441.5</v>
      </c>
      <c r="AY586" s="203">
        <v>0.9</v>
      </c>
      <c r="AZ586" s="239">
        <v>29.8</v>
      </c>
      <c r="BA586" s="203">
        <v>1982</v>
      </c>
      <c r="BB586" s="204">
        <v>35684</v>
      </c>
      <c r="BC586" s="203" t="s">
        <v>741</v>
      </c>
    </row>
    <row r="587" spans="1:55" x14ac:dyDescent="0.2">
      <c r="A587" s="184" t="s">
        <v>2327</v>
      </c>
      <c r="B587" s="184" t="s">
        <v>2326</v>
      </c>
      <c r="C587" s="184" t="s">
        <v>1008</v>
      </c>
      <c r="D587" s="185" t="s">
        <v>1043</v>
      </c>
      <c r="E587" s="184" t="s">
        <v>2328</v>
      </c>
      <c r="F587" s="184" t="s">
        <v>2329</v>
      </c>
      <c r="G587" s="186">
        <f>IF(ALECA_Input!$F$13="ICAO (3000ft)",'Aircraft Calc'!C$211,'Aircraft Calc'!G$211)</f>
        <v>0.7</v>
      </c>
      <c r="H587" s="186">
        <f>IF(ALECA_Input!$F$13="ICAO (3000ft)",'Aircraft Calc'!D$211,'Aircraft Calc'!H$211)</f>
        <v>2.2000000000000002</v>
      </c>
      <c r="I587" s="186">
        <f>IF(ALECA_Input!$F$13="ICAO (3000ft)",'Aircraft Calc'!E$211,'Aircraft Calc'!I$211)</f>
        <v>4</v>
      </c>
      <c r="J587" s="189">
        <v>1</v>
      </c>
      <c r="K587" s="187">
        <f t="shared" si="145"/>
        <v>78.862200000000001</v>
      </c>
      <c r="L587" s="187">
        <f t="shared" si="146"/>
        <v>0.77647562999999997</v>
      </c>
      <c r="M587" s="187">
        <f t="shared" si="147"/>
        <v>8.3548019999999997E-3</v>
      </c>
      <c r="N587" s="187">
        <f t="shared" si="148"/>
        <v>0.19045716000000004</v>
      </c>
      <c r="O587" s="187">
        <f t="shared" si="149"/>
        <v>1.0715070231028591E-2</v>
      </c>
      <c r="P587" s="188">
        <f t="shared" si="150"/>
        <v>1.2266910135483168E+17</v>
      </c>
      <c r="Q587" s="187">
        <f t="shared" si="151"/>
        <v>2448.0000000000005</v>
      </c>
      <c r="R587" s="219">
        <f t="shared" si="152"/>
        <v>9.253440000000003</v>
      </c>
      <c r="S587" s="219">
        <f t="shared" si="153"/>
        <v>13.194720000000002</v>
      </c>
      <c r="T587" s="219">
        <f t="shared" si="154"/>
        <v>100.19664000000002</v>
      </c>
      <c r="U587" s="219">
        <f t="shared" si="155"/>
        <v>0.2652587795597145</v>
      </c>
      <c r="V587" s="188">
        <f t="shared" si="156"/>
        <v>3228940050455521.5</v>
      </c>
      <c r="W587" s="323">
        <v>0.35809999999999997</v>
      </c>
      <c r="X587" s="323">
        <v>0.29549999999999998</v>
      </c>
      <c r="Y587" s="323">
        <v>0.10340000000000001</v>
      </c>
      <c r="Z587" s="323">
        <v>4.0800000000000003E-2</v>
      </c>
      <c r="AA587" s="323">
        <v>13.35</v>
      </c>
      <c r="AB587" s="323">
        <v>10.56</v>
      </c>
      <c r="AC587" s="323">
        <v>6.6000000000000005</v>
      </c>
      <c r="AD587" s="323">
        <v>3.7800000000000002</v>
      </c>
      <c r="AE587" s="323">
        <v>0.06</v>
      </c>
      <c r="AF587" s="323">
        <v>5.2999999999999999E-2</v>
      </c>
      <c r="AG587" s="323">
        <v>0.217</v>
      </c>
      <c r="AH587" s="323">
        <v>5.39</v>
      </c>
      <c r="AI587" s="323">
        <v>0.3</v>
      </c>
      <c r="AJ587" s="323">
        <v>0.25</v>
      </c>
      <c r="AK587" s="323">
        <v>7.1000000000000005</v>
      </c>
      <c r="AL587" s="323">
        <v>40.93</v>
      </c>
      <c r="AM587" s="323">
        <v>7.7956612967189018E-2</v>
      </c>
      <c r="AN587" s="323">
        <v>8.3008847826659474E-2</v>
      </c>
      <c r="AO587" s="323">
        <v>7.5751406445550992E-2</v>
      </c>
      <c r="AP587" s="323">
        <v>2.6141044591386636E-2</v>
      </c>
      <c r="AQ587" s="323">
        <v>0.133816612967189</v>
      </c>
      <c r="AR587" s="323">
        <v>0.13599684782665949</v>
      </c>
      <c r="AS587" s="323">
        <v>0.13691765644555098</v>
      </c>
      <c r="AT587" s="323">
        <v>0.10835734459138663</v>
      </c>
      <c r="AU587" s="190">
        <v>491686863409457.69</v>
      </c>
      <c r="AV587" s="190">
        <v>523552248739968.31</v>
      </c>
      <c r="AW587" s="190">
        <v>3822225724428979</v>
      </c>
      <c r="AX587" s="190">
        <v>1319011458519412.3</v>
      </c>
      <c r="AY587" s="203">
        <v>1</v>
      </c>
      <c r="AZ587" s="239">
        <v>31</v>
      </c>
      <c r="BA587" s="203">
        <v>1982</v>
      </c>
      <c r="BB587" s="204">
        <v>39296</v>
      </c>
      <c r="BC587" s="203" t="s">
        <v>741</v>
      </c>
    </row>
    <row r="588" spans="1:55" x14ac:dyDescent="0.2">
      <c r="A588" s="184" t="s">
        <v>2331</v>
      </c>
      <c r="B588" s="184" t="s">
        <v>2330</v>
      </c>
      <c r="C588" s="184" t="s">
        <v>934</v>
      </c>
      <c r="D588" s="185" t="s">
        <v>1043</v>
      </c>
      <c r="E588" s="184" t="s">
        <v>2332</v>
      </c>
      <c r="F588" s="184" t="s">
        <v>2332</v>
      </c>
      <c r="G588" s="186">
        <f>IF(ALECA_Input!$F$13="ICAO (3000ft)",'Aircraft Calc'!C$211,'Aircraft Calc'!G$211)</f>
        <v>0.7</v>
      </c>
      <c r="H588" s="186">
        <f>IF(ALECA_Input!$F$13="ICAO (3000ft)",'Aircraft Calc'!D$211,'Aircraft Calc'!H$211)</f>
        <v>2.2000000000000002</v>
      </c>
      <c r="I588" s="186">
        <f>IF(ALECA_Input!$F$13="ICAO (3000ft)",'Aircraft Calc'!E$211,'Aircraft Calc'!I$211)</f>
        <v>4</v>
      </c>
      <c r="J588" s="189">
        <v>1</v>
      </c>
      <c r="K588" s="187">
        <f t="shared" si="145"/>
        <v>420.88800000000003</v>
      </c>
      <c r="L588" s="187">
        <f t="shared" si="146"/>
        <v>10.46361168</v>
      </c>
      <c r="M588" s="187">
        <f t="shared" si="147"/>
        <v>0</v>
      </c>
      <c r="N588" s="187">
        <f t="shared" si="148"/>
        <v>0.25772351999999998</v>
      </c>
      <c r="O588" s="187">
        <f t="shared" si="149"/>
        <v>3.6714847202868529E-2</v>
      </c>
      <c r="P588" s="188">
        <f t="shared" si="150"/>
        <v>3.0513522368070784E+17</v>
      </c>
      <c r="Q588" s="187">
        <f t="shared" si="151"/>
        <v>13380</v>
      </c>
      <c r="R588" s="219">
        <f t="shared" si="152"/>
        <v>66.632400000000004</v>
      </c>
      <c r="S588" s="219">
        <f t="shared" si="153"/>
        <v>1.3380000000000001</v>
      </c>
      <c r="T588" s="219">
        <f t="shared" si="154"/>
        <v>151.863</v>
      </c>
      <c r="U588" s="219">
        <f t="shared" si="155"/>
        <v>0.7419487036193142</v>
      </c>
      <c r="V588" s="188">
        <f t="shared" si="156"/>
        <v>3966384644950893</v>
      </c>
      <c r="W588" s="323">
        <v>1.9119999999999999</v>
      </c>
      <c r="X588" s="323">
        <v>1.5820000000000001</v>
      </c>
      <c r="Y588" s="323">
        <v>0.54900000000000004</v>
      </c>
      <c r="Z588" s="323">
        <v>0.223</v>
      </c>
      <c r="AA588" s="323">
        <v>36.25</v>
      </c>
      <c r="AB588" s="323">
        <v>28.52</v>
      </c>
      <c r="AC588" s="323">
        <v>12.12</v>
      </c>
      <c r="AD588" s="323">
        <v>4.9800000000000004</v>
      </c>
      <c r="AE588" s="323">
        <v>0</v>
      </c>
      <c r="AF588" s="323">
        <v>0</v>
      </c>
      <c r="AG588" s="323">
        <v>0</v>
      </c>
      <c r="AH588" s="323">
        <v>0.1</v>
      </c>
      <c r="AI588" s="323">
        <v>0.46</v>
      </c>
      <c r="AJ588" s="323">
        <v>0.42</v>
      </c>
      <c r="AK588" s="323">
        <v>1.01</v>
      </c>
      <c r="AL588" s="323">
        <v>11.35</v>
      </c>
      <c r="AM588" s="323">
        <v>2.9804309786038437E-2</v>
      </c>
      <c r="AN588" s="323">
        <v>4.3599633824905018E-2</v>
      </c>
      <c r="AO588" s="323">
        <v>3.4988733272302147E-2</v>
      </c>
      <c r="AP588" s="323">
        <v>5.8750705246124165E-3</v>
      </c>
      <c r="AQ588" s="323">
        <v>7.8764309786038433E-2</v>
      </c>
      <c r="AR588" s="323">
        <v>9.2559633824905008E-2</v>
      </c>
      <c r="AS588" s="323">
        <v>8.3948733272302151E-2</v>
      </c>
      <c r="AT588" s="323">
        <v>5.5452070524612422E-2</v>
      </c>
      <c r="AU588" s="190">
        <v>187981327523155.72</v>
      </c>
      <c r="AV588" s="190">
        <v>274991003139030.34</v>
      </c>
      <c r="AW588" s="190">
        <v>1765443608954033.5</v>
      </c>
      <c r="AX588" s="190">
        <v>296441303807989</v>
      </c>
      <c r="AY588" s="203">
        <v>12.2</v>
      </c>
      <c r="AZ588" s="239">
        <v>268</v>
      </c>
      <c r="BA588" s="203">
        <v>2012</v>
      </c>
      <c r="BB588" s="204">
        <v>41626</v>
      </c>
      <c r="BC588" s="203" t="s">
        <v>2371</v>
      </c>
    </row>
    <row r="589" spans="1:55" x14ac:dyDescent="0.2">
      <c r="A589" s="184" t="s">
        <v>2334</v>
      </c>
      <c r="B589" s="184" t="s">
        <v>2333</v>
      </c>
      <c r="C589" s="184" t="s">
        <v>934</v>
      </c>
      <c r="D589" s="185" t="s">
        <v>1043</v>
      </c>
      <c r="E589" s="184" t="s">
        <v>2335</v>
      </c>
      <c r="F589" s="184" t="s">
        <v>2335</v>
      </c>
      <c r="G589" s="186">
        <f>IF(ALECA_Input!$F$13="ICAO (3000ft)",'Aircraft Calc'!C$211,'Aircraft Calc'!G$211)</f>
        <v>0.7</v>
      </c>
      <c r="H589" s="186">
        <f>IF(ALECA_Input!$F$13="ICAO (3000ft)",'Aircraft Calc'!D$211,'Aircraft Calc'!H$211)</f>
        <v>2.2000000000000002</v>
      </c>
      <c r="I589" s="186">
        <f>IF(ALECA_Input!$F$13="ICAO (3000ft)",'Aircraft Calc'!E$211,'Aircraft Calc'!I$211)</f>
        <v>4</v>
      </c>
      <c r="J589" s="189">
        <v>1</v>
      </c>
      <c r="K589" s="187">
        <f t="shared" si="145"/>
        <v>516.6</v>
      </c>
      <c r="L589" s="187">
        <f t="shared" si="146"/>
        <v>16.927605479999997</v>
      </c>
      <c r="M589" s="187">
        <f t="shared" si="147"/>
        <v>0</v>
      </c>
      <c r="N589" s="187">
        <f t="shared" si="148"/>
        <v>0.283053</v>
      </c>
      <c r="O589" s="187">
        <f t="shared" si="149"/>
        <v>4.3526131353390382E-2</v>
      </c>
      <c r="P589" s="188">
        <f t="shared" si="150"/>
        <v>4.50256961960552E+17</v>
      </c>
      <c r="Q589" s="187">
        <f t="shared" si="151"/>
        <v>14580</v>
      </c>
      <c r="R589" s="219">
        <f t="shared" si="152"/>
        <v>81.939599999999999</v>
      </c>
      <c r="S589" s="219">
        <f t="shared" si="153"/>
        <v>0.58320000000000005</v>
      </c>
      <c r="T589" s="219">
        <f t="shared" si="154"/>
        <v>113.8698</v>
      </c>
      <c r="U589" s="219">
        <f t="shared" si="155"/>
        <v>0.79508496501628756</v>
      </c>
      <c r="V589" s="188">
        <f t="shared" si="156"/>
        <v>3918014955921540</v>
      </c>
      <c r="W589" s="323">
        <v>2.4020000000000001</v>
      </c>
      <c r="X589" s="323">
        <v>1.9730000000000001</v>
      </c>
      <c r="Y589" s="323">
        <v>0.64700000000000002</v>
      </c>
      <c r="Z589" s="323">
        <v>0.24299999999999999</v>
      </c>
      <c r="AA589" s="323">
        <v>49.57</v>
      </c>
      <c r="AB589" s="323">
        <v>37.799999999999997</v>
      </c>
      <c r="AC589" s="323">
        <v>13.41</v>
      </c>
      <c r="AD589" s="323">
        <v>5.62</v>
      </c>
      <c r="AE589" s="323">
        <v>0</v>
      </c>
      <c r="AF589" s="323">
        <v>0</v>
      </c>
      <c r="AG589" s="323">
        <v>0</v>
      </c>
      <c r="AH589" s="323">
        <v>0.04</v>
      </c>
      <c r="AI589" s="323">
        <v>0.51</v>
      </c>
      <c r="AJ589" s="323">
        <v>0.46</v>
      </c>
      <c r="AK589" s="323">
        <v>0.72</v>
      </c>
      <c r="AL589" s="323">
        <v>7.81</v>
      </c>
      <c r="AM589" s="323">
        <v>2.1354478009686265E-2</v>
      </c>
      <c r="AN589" s="323">
        <v>3.2582151268579343E-2</v>
      </c>
      <c r="AO589" s="323">
        <v>4.8902016010287597E-2</v>
      </c>
      <c r="AP589" s="323">
        <v>5.3257764757398841E-3</v>
      </c>
      <c r="AQ589" s="323">
        <v>7.0314478009686265E-2</v>
      </c>
      <c r="AR589" s="323">
        <v>8.1542151268579333E-2</v>
      </c>
      <c r="AS589" s="323">
        <v>9.78620160102876E-2</v>
      </c>
      <c r="AT589" s="323">
        <v>5.4532576475739884E-2</v>
      </c>
      <c r="AU589" s="190">
        <v>134686666245339.34</v>
      </c>
      <c r="AV589" s="190">
        <v>205501690627874.94</v>
      </c>
      <c r="AW589" s="190">
        <v>2467472913592838.5</v>
      </c>
      <c r="AX589" s="190">
        <v>268725305618761.31</v>
      </c>
      <c r="AY589" s="203">
        <v>19.100000000000001</v>
      </c>
      <c r="AZ589" s="239">
        <v>323.7</v>
      </c>
      <c r="BA589" s="203">
        <v>2012</v>
      </c>
      <c r="BB589" s="204">
        <v>41626</v>
      </c>
      <c r="BC589" s="203" t="s">
        <v>2371</v>
      </c>
    </row>
    <row r="590" spans="1:55" x14ac:dyDescent="0.2">
      <c r="A590" s="184" t="s">
        <v>2337</v>
      </c>
      <c r="B590" s="184" t="s">
        <v>2336</v>
      </c>
      <c r="C590" s="184" t="s">
        <v>934</v>
      </c>
      <c r="D590" s="185" t="s">
        <v>1043</v>
      </c>
      <c r="E590" s="184" t="s">
        <v>2338</v>
      </c>
      <c r="F590" s="184" t="s">
        <v>2338</v>
      </c>
      <c r="G590" s="186">
        <f>IF(ALECA_Input!$F$13="ICAO (3000ft)",'Aircraft Calc'!C$211,'Aircraft Calc'!G$211)</f>
        <v>0.7</v>
      </c>
      <c r="H590" s="186">
        <f>IF(ALECA_Input!$F$13="ICAO (3000ft)",'Aircraft Calc'!D$211,'Aircraft Calc'!H$211)</f>
        <v>2.2000000000000002</v>
      </c>
      <c r="I590" s="186">
        <f>IF(ALECA_Input!$F$13="ICAO (3000ft)",'Aircraft Calc'!E$211,'Aircraft Calc'!I$211)</f>
        <v>4</v>
      </c>
      <c r="J590" s="189">
        <v>1</v>
      </c>
      <c r="K590" s="187">
        <f t="shared" si="145"/>
        <v>453.21000000000004</v>
      </c>
      <c r="L590" s="187">
        <f t="shared" si="146"/>
        <v>12.409175999999999</v>
      </c>
      <c r="M590" s="187">
        <f t="shared" si="147"/>
        <v>0</v>
      </c>
      <c r="N590" s="187">
        <f t="shared" si="148"/>
        <v>0.26349059999999996</v>
      </c>
      <c r="O590" s="187">
        <f t="shared" si="149"/>
        <v>3.9133912366142901E-2</v>
      </c>
      <c r="P590" s="188">
        <f t="shared" si="150"/>
        <v>3.473807777753655E+17</v>
      </c>
      <c r="Q590" s="187">
        <f t="shared" si="151"/>
        <v>13980</v>
      </c>
      <c r="R590" s="219">
        <f t="shared" si="152"/>
        <v>72.835800000000006</v>
      </c>
      <c r="S590" s="219">
        <f t="shared" si="153"/>
        <v>0.97860000000000014</v>
      </c>
      <c r="T590" s="219">
        <f t="shared" si="154"/>
        <v>137.28360000000001</v>
      </c>
      <c r="U590" s="219">
        <f t="shared" si="155"/>
        <v>0.76495311713084357</v>
      </c>
      <c r="V590" s="188">
        <f t="shared" si="156"/>
        <v>3756779772550283.5</v>
      </c>
      <c r="W590" s="323">
        <v>2.0750000000000002</v>
      </c>
      <c r="X590" s="323">
        <v>1.7150000000000001</v>
      </c>
      <c r="Y590" s="323">
        <v>0.58199999999999996</v>
      </c>
      <c r="Z590" s="323">
        <v>0.23300000000000001</v>
      </c>
      <c r="AA590" s="323">
        <v>40.46</v>
      </c>
      <c r="AB590" s="323">
        <v>31.49</v>
      </c>
      <c r="AC590" s="323">
        <v>12.56</v>
      </c>
      <c r="AD590" s="323">
        <v>5.21</v>
      </c>
      <c r="AE590" s="323">
        <v>0</v>
      </c>
      <c r="AF590" s="323">
        <v>0</v>
      </c>
      <c r="AG590" s="323">
        <v>0</v>
      </c>
      <c r="AH590" s="323">
        <v>7.0000000000000007E-2</v>
      </c>
      <c r="AI590" s="323">
        <v>0.48</v>
      </c>
      <c r="AJ590" s="323">
        <v>0.43</v>
      </c>
      <c r="AK590" s="323">
        <v>0.89</v>
      </c>
      <c r="AL590" s="323">
        <v>9.82</v>
      </c>
      <c r="AM590" s="323">
        <v>2.6776620565540987E-2</v>
      </c>
      <c r="AN590" s="323">
        <v>4.0479311715481116E-2</v>
      </c>
      <c r="AO590" s="323">
        <v>3.8999582600983601E-2</v>
      </c>
      <c r="AP590" s="323">
        <v>5.3257764757398841E-3</v>
      </c>
      <c r="AQ590" s="323">
        <v>7.573662056554098E-2</v>
      </c>
      <c r="AR590" s="323">
        <v>8.9439311715481112E-2</v>
      </c>
      <c r="AS590" s="323">
        <v>8.7959582600983591E-2</v>
      </c>
      <c r="AT590" s="323">
        <v>5.4717676475739885E-2</v>
      </c>
      <c r="AU590" s="190">
        <v>168885128245852.78</v>
      </c>
      <c r="AV590" s="190">
        <v>255310550995020.97</v>
      </c>
      <c r="AW590" s="190">
        <v>1967820993087676.3</v>
      </c>
      <c r="AX590" s="190">
        <v>268725305618761.31</v>
      </c>
      <c r="AY590" s="203">
        <v>14.3</v>
      </c>
      <c r="AZ590" s="239">
        <v>287.10000000000002</v>
      </c>
      <c r="BA590" s="203">
        <v>2012</v>
      </c>
      <c r="BB590" s="204">
        <v>41626</v>
      </c>
      <c r="BC590" s="203" t="s">
        <v>2371</v>
      </c>
    </row>
    <row r="591" spans="1:55" x14ac:dyDescent="0.2">
      <c r="A591" s="184" t="s">
        <v>2340</v>
      </c>
      <c r="B591" s="184" t="s">
        <v>2339</v>
      </c>
      <c r="C591" s="184" t="s">
        <v>934</v>
      </c>
      <c r="D591" s="185" t="s">
        <v>1043</v>
      </c>
      <c r="E591" s="184" t="s">
        <v>2341</v>
      </c>
      <c r="F591" s="184" t="s">
        <v>2341</v>
      </c>
      <c r="G591" s="186">
        <f>IF(ALECA_Input!$F$13="ICAO (3000ft)",'Aircraft Calc'!C$211,'Aircraft Calc'!G$211)</f>
        <v>0.7</v>
      </c>
      <c r="H591" s="186">
        <f>IF(ALECA_Input!$F$13="ICAO (3000ft)",'Aircraft Calc'!D$211,'Aircraft Calc'!H$211)</f>
        <v>2.2000000000000002</v>
      </c>
      <c r="I591" s="186">
        <f>IF(ALECA_Input!$F$13="ICAO (3000ft)",'Aircraft Calc'!E$211,'Aircraft Calc'!I$211)</f>
        <v>4</v>
      </c>
      <c r="J591" s="189">
        <v>1</v>
      </c>
      <c r="K591" s="187">
        <f t="shared" si="145"/>
        <v>535.9620000000001</v>
      </c>
      <c r="L591" s="187">
        <f t="shared" si="146"/>
        <v>18.521797260000003</v>
      </c>
      <c r="M591" s="187">
        <f t="shared" si="147"/>
        <v>0</v>
      </c>
      <c r="N591" s="187">
        <f t="shared" si="148"/>
        <v>0.28973388</v>
      </c>
      <c r="O591" s="187">
        <f t="shared" si="149"/>
        <v>4.4807354533974705E-2</v>
      </c>
      <c r="P591" s="188">
        <f t="shared" si="150"/>
        <v>4.7554495352823392E+17</v>
      </c>
      <c r="Q591" s="187">
        <f t="shared" si="151"/>
        <v>14820</v>
      </c>
      <c r="R591" s="219">
        <f t="shared" si="152"/>
        <v>85.066800000000001</v>
      </c>
      <c r="S591" s="219">
        <f t="shared" si="153"/>
        <v>0.4446</v>
      </c>
      <c r="T591" s="219">
        <f t="shared" si="154"/>
        <v>114.55860000000001</v>
      </c>
      <c r="U591" s="219">
        <f t="shared" si="155"/>
        <v>0.80725838937046501</v>
      </c>
      <c r="V591" s="188">
        <f t="shared" si="156"/>
        <v>3982509029270042.5</v>
      </c>
      <c r="W591" s="323">
        <v>2.5030000000000001</v>
      </c>
      <c r="X591" s="323">
        <v>2.0529999999999999</v>
      </c>
      <c r="Y591" s="323">
        <v>0.66600000000000004</v>
      </c>
      <c r="Z591" s="323">
        <v>0.247</v>
      </c>
      <c r="AA591" s="323">
        <v>52.65</v>
      </c>
      <c r="AB591" s="323">
        <v>39.86</v>
      </c>
      <c r="AC591" s="323">
        <v>13.67</v>
      </c>
      <c r="AD591" s="323">
        <v>5.74</v>
      </c>
      <c r="AE591" s="323">
        <v>0</v>
      </c>
      <c r="AF591" s="323">
        <v>0</v>
      </c>
      <c r="AG591" s="323">
        <v>0</v>
      </c>
      <c r="AH591" s="323">
        <v>0.03</v>
      </c>
      <c r="AI591" s="323">
        <v>0.5</v>
      </c>
      <c r="AJ591" s="323">
        <v>0.48</v>
      </c>
      <c r="AK591" s="323">
        <v>0.67</v>
      </c>
      <c r="AL591" s="323">
        <v>7.73</v>
      </c>
      <c r="AM591" s="323">
        <v>2.1354478009686265E-2</v>
      </c>
      <c r="AN591" s="323">
        <v>3.0270104056816766E-2</v>
      </c>
      <c r="AO591" s="323">
        <v>5.0792461459880561E-2</v>
      </c>
      <c r="AP591" s="323">
        <v>5.3257764757398841E-3</v>
      </c>
      <c r="AQ591" s="323">
        <v>7.0314478009686265E-2</v>
      </c>
      <c r="AR591" s="323">
        <v>7.9230104056816769E-2</v>
      </c>
      <c r="AS591" s="323">
        <v>9.9752461459880565E-2</v>
      </c>
      <c r="AT591" s="323">
        <v>5.4470876475739879E-2</v>
      </c>
      <c r="AU591" s="190">
        <v>134686666245339.34</v>
      </c>
      <c r="AV591" s="190">
        <v>190919178659524.16</v>
      </c>
      <c r="AW591" s="190">
        <v>2562860043246433.5</v>
      </c>
      <c r="AX591" s="190">
        <v>268725305618761.31</v>
      </c>
      <c r="AY591" s="203">
        <v>20.7</v>
      </c>
      <c r="AZ591" s="239">
        <v>334.7</v>
      </c>
      <c r="BA591" s="203">
        <v>2012</v>
      </c>
      <c r="BB591" s="204">
        <v>41626</v>
      </c>
      <c r="BC591" s="203" t="s">
        <v>2371</v>
      </c>
    </row>
    <row r="592" spans="1:55" x14ac:dyDescent="0.2">
      <c r="A592" s="184" t="s">
        <v>2343</v>
      </c>
      <c r="B592" s="184" t="s">
        <v>2342</v>
      </c>
      <c r="C592" s="184" t="s">
        <v>934</v>
      </c>
      <c r="D592" s="185" t="s">
        <v>1043</v>
      </c>
      <c r="E592" s="184" t="s">
        <v>2344</v>
      </c>
      <c r="F592" s="184" t="s">
        <v>2345</v>
      </c>
      <c r="G592" s="186">
        <f>IF(ALECA_Input!$F$13="ICAO (3000ft)",'Aircraft Calc'!C$211,'Aircraft Calc'!G$211)</f>
        <v>0.7</v>
      </c>
      <c r="H592" s="186">
        <f>IF(ALECA_Input!$F$13="ICAO (3000ft)",'Aircraft Calc'!D$211,'Aircraft Calc'!H$211)</f>
        <v>2.2000000000000002</v>
      </c>
      <c r="I592" s="186">
        <f>IF(ALECA_Input!$F$13="ICAO (3000ft)",'Aircraft Calc'!E$211,'Aircraft Calc'!I$211)</f>
        <v>4</v>
      </c>
      <c r="J592" s="189">
        <v>1</v>
      </c>
      <c r="K592" s="187">
        <f t="shared" si="145"/>
        <v>565.72199999999998</v>
      </c>
      <c r="L592" s="187">
        <f t="shared" si="146"/>
        <v>21.194150759999996</v>
      </c>
      <c r="M592" s="187">
        <f t="shared" si="147"/>
        <v>0</v>
      </c>
      <c r="N592" s="187">
        <f t="shared" si="148"/>
        <v>0.29220821999999996</v>
      </c>
      <c r="O592" s="187">
        <f t="shared" si="149"/>
        <v>4.7891790777168264E-2</v>
      </c>
      <c r="P592" s="188">
        <f t="shared" si="150"/>
        <v>5.2879240866627258E+17</v>
      </c>
      <c r="Q592" s="187">
        <f t="shared" si="151"/>
        <v>15240</v>
      </c>
      <c r="R592" s="219">
        <f t="shared" si="152"/>
        <v>90.068399999999997</v>
      </c>
      <c r="S592" s="219">
        <f t="shared" si="153"/>
        <v>0.30480000000000002</v>
      </c>
      <c r="T592" s="219">
        <f t="shared" si="154"/>
        <v>103.63200000000001</v>
      </c>
      <c r="U592" s="219">
        <f t="shared" si="155"/>
        <v>0.82919584949027592</v>
      </c>
      <c r="V592" s="188">
        <f t="shared" si="156"/>
        <v>4095373657629922.5</v>
      </c>
      <c r="W592" s="323">
        <v>2.6629999999999998</v>
      </c>
      <c r="X592" s="323">
        <v>2.173</v>
      </c>
      <c r="Y592" s="323">
        <v>0.69599999999999995</v>
      </c>
      <c r="Z592" s="323">
        <v>0.254</v>
      </c>
      <c r="AA592" s="323">
        <v>58.04</v>
      </c>
      <c r="AB592" s="323">
        <v>43.07</v>
      </c>
      <c r="AC592" s="323">
        <v>14.06</v>
      </c>
      <c r="AD592" s="323">
        <v>5.91</v>
      </c>
      <c r="AE592" s="323">
        <v>0</v>
      </c>
      <c r="AF592" s="323">
        <v>0</v>
      </c>
      <c r="AG592" s="323">
        <v>0</v>
      </c>
      <c r="AH592" s="323">
        <v>0.02</v>
      </c>
      <c r="AI592" s="323">
        <v>0.43</v>
      </c>
      <c r="AJ592" s="323">
        <v>0.49</v>
      </c>
      <c r="AK592" s="323">
        <v>0.62</v>
      </c>
      <c r="AL592" s="323">
        <v>6.8</v>
      </c>
      <c r="AM592" s="323">
        <v>2.7811746407652594E-2</v>
      </c>
      <c r="AN592" s="323">
        <v>2.7859739447284457E-2</v>
      </c>
      <c r="AO592" s="323">
        <v>5.4431470572058584E-2</v>
      </c>
      <c r="AP592" s="323">
        <v>5.3257764757398841E-3</v>
      </c>
      <c r="AQ592" s="323">
        <v>7.677174640765258E-2</v>
      </c>
      <c r="AR592" s="323">
        <v>7.6819739447284457E-2</v>
      </c>
      <c r="AS592" s="323">
        <v>0.10339147057205859</v>
      </c>
      <c r="AT592" s="323">
        <v>5.4409176475739889E-2</v>
      </c>
      <c r="AU592" s="190">
        <v>175413859538426.31</v>
      </c>
      <c r="AV592" s="190">
        <v>175716560569473.03</v>
      </c>
      <c r="AW592" s="190">
        <v>2746475303908240</v>
      </c>
      <c r="AX592" s="190">
        <v>268725305618761.31</v>
      </c>
      <c r="AY592" s="203">
        <v>23.5</v>
      </c>
      <c r="AZ592" s="239">
        <v>350.9</v>
      </c>
      <c r="BA592" s="203">
        <v>2012</v>
      </c>
      <c r="BB592" s="204">
        <v>41626</v>
      </c>
      <c r="BC592" s="203" t="s">
        <v>2371</v>
      </c>
    </row>
    <row r="593" spans="1:55" x14ac:dyDescent="0.2">
      <c r="A593" s="184" t="s">
        <v>660</v>
      </c>
      <c r="B593" s="184" t="s">
        <v>2346</v>
      </c>
      <c r="C593" s="184" t="s">
        <v>1008</v>
      </c>
      <c r="D593" s="185" t="s">
        <v>1043</v>
      </c>
      <c r="E593" s="184" t="s">
        <v>2347</v>
      </c>
      <c r="F593" s="184" t="s">
        <v>2348</v>
      </c>
      <c r="G593" s="186">
        <f>IF(ALECA_Input!$F$13="ICAO (3000ft)",'Aircraft Calc'!C$211,'Aircraft Calc'!G$211)</f>
        <v>0.7</v>
      </c>
      <c r="H593" s="186">
        <f>IF(ALECA_Input!$F$13="ICAO (3000ft)",'Aircraft Calc'!D$211,'Aircraft Calc'!H$211)</f>
        <v>2.2000000000000002</v>
      </c>
      <c r="I593" s="186">
        <f>IF(ALECA_Input!$F$13="ICAO (3000ft)",'Aircraft Calc'!E$211,'Aircraft Calc'!I$211)</f>
        <v>4</v>
      </c>
      <c r="J593" s="189">
        <v>1</v>
      </c>
      <c r="K593" s="187">
        <f t="shared" si="145"/>
        <v>80.104799999999997</v>
      </c>
      <c r="L593" s="187">
        <f t="shared" si="146"/>
        <v>0.85409373600000005</v>
      </c>
      <c r="M593" s="187">
        <f t="shared" si="147"/>
        <v>3.6601679999999997E-3</v>
      </c>
      <c r="N593" s="187">
        <f t="shared" si="148"/>
        <v>0.12987563999999999</v>
      </c>
      <c r="O593" s="187">
        <f t="shared" si="149"/>
        <v>9.9917995506837547E-3</v>
      </c>
      <c r="P593" s="188">
        <f t="shared" si="150"/>
        <v>1.3548422392300227E+17</v>
      </c>
      <c r="Q593" s="187">
        <f t="shared" si="151"/>
        <v>2718</v>
      </c>
      <c r="R593" s="219">
        <f t="shared" si="152"/>
        <v>8.9150400000000012</v>
      </c>
      <c r="S593" s="219">
        <f t="shared" si="153"/>
        <v>12.828959999999999</v>
      </c>
      <c r="T593" s="219">
        <f t="shared" si="154"/>
        <v>102.82194</v>
      </c>
      <c r="U593" s="219">
        <f t="shared" si="155"/>
        <v>0.50705815781446373</v>
      </c>
      <c r="V593" s="188">
        <f t="shared" si="156"/>
        <v>1.4876391173064362E+16</v>
      </c>
      <c r="W593" s="323">
        <v>0.35780000000000001</v>
      </c>
      <c r="X593" s="323">
        <v>0.29609999999999997</v>
      </c>
      <c r="Y593" s="323">
        <v>0.10829999999999999</v>
      </c>
      <c r="Z593" s="323">
        <v>4.53E-2</v>
      </c>
      <c r="AA593" s="323">
        <v>14.52</v>
      </c>
      <c r="AB593" s="323">
        <v>12.02</v>
      </c>
      <c r="AC593" s="323">
        <v>6.3900000000000006</v>
      </c>
      <c r="AD593" s="323">
        <v>3.2800000000000002</v>
      </c>
      <c r="AE593" s="323">
        <v>0.01</v>
      </c>
      <c r="AF593" s="323">
        <v>0.01</v>
      </c>
      <c r="AG593" s="323">
        <v>0.12</v>
      </c>
      <c r="AH593" s="323">
        <v>4.72</v>
      </c>
      <c r="AI593" s="323">
        <v>0.2</v>
      </c>
      <c r="AJ593" s="323">
        <v>0.3</v>
      </c>
      <c r="AK593" s="323">
        <v>4.43</v>
      </c>
      <c r="AL593" s="323">
        <v>37.83</v>
      </c>
      <c r="AM593" s="323">
        <v>6.1377355173094519E-2</v>
      </c>
      <c r="AN593" s="323">
        <v>6.8868149500687245E-2</v>
      </c>
      <c r="AO593" s="323">
        <v>8.5924758049411312E-2</v>
      </c>
      <c r="AP593" s="323">
        <v>0.10847321361827217</v>
      </c>
      <c r="AQ593" s="323">
        <v>0.11148735517309452</v>
      </c>
      <c r="AR593" s="323">
        <v>0.11858814950068725</v>
      </c>
      <c r="AS593" s="323">
        <v>0.14163475804941131</v>
      </c>
      <c r="AT593" s="323">
        <v>0.18655561361827216</v>
      </c>
      <c r="AU593" s="190">
        <v>387118399591434.69</v>
      </c>
      <c r="AV593" s="190">
        <v>434364233231354.44</v>
      </c>
      <c r="AW593" s="190">
        <v>4335547496637731</v>
      </c>
      <c r="AX593" s="190">
        <v>5473285935638102</v>
      </c>
      <c r="AY593" s="203">
        <v>1.1000000000000001</v>
      </c>
      <c r="AZ593" s="239">
        <v>31</v>
      </c>
      <c r="BA593" s="203">
        <v>1990</v>
      </c>
      <c r="BB593" s="204">
        <v>39296</v>
      </c>
      <c r="BC593" s="203" t="s">
        <v>716</v>
      </c>
    </row>
    <row r="594" spans="1:55" x14ac:dyDescent="0.2">
      <c r="A594" s="184" t="s">
        <v>2350</v>
      </c>
      <c r="B594" s="184" t="s">
        <v>2349</v>
      </c>
      <c r="C594" s="184" t="s">
        <v>934</v>
      </c>
      <c r="D594" s="185" t="s">
        <v>1043</v>
      </c>
      <c r="E594" s="184" t="s">
        <v>2351</v>
      </c>
      <c r="F594" s="184" t="s">
        <v>2351</v>
      </c>
      <c r="G594" s="186">
        <f>IF(ALECA_Input!$F$13="ICAO (3000ft)",'Aircraft Calc'!C$211,'Aircraft Calc'!G$211)</f>
        <v>0.7</v>
      </c>
      <c r="H594" s="186">
        <f>IF(ALECA_Input!$F$13="ICAO (3000ft)",'Aircraft Calc'!D$211,'Aircraft Calc'!H$211)</f>
        <v>2.2000000000000002</v>
      </c>
      <c r="I594" s="186">
        <f>IF(ALECA_Input!$F$13="ICAO (3000ft)",'Aircraft Calc'!E$211,'Aircraft Calc'!I$211)</f>
        <v>4</v>
      </c>
      <c r="J594" s="189">
        <v>1</v>
      </c>
      <c r="K594" s="187">
        <f t="shared" si="145"/>
        <v>493.608</v>
      </c>
      <c r="L594" s="187">
        <f t="shared" si="146"/>
        <v>15.24204396</v>
      </c>
      <c r="M594" s="187">
        <f t="shared" si="147"/>
        <v>0</v>
      </c>
      <c r="N594" s="187">
        <f t="shared" si="148"/>
        <v>0.27535188000000005</v>
      </c>
      <c r="O594" s="187">
        <f t="shared" si="149"/>
        <v>4.1790643365756157E-2</v>
      </c>
      <c r="P594" s="188">
        <f t="shared" si="150"/>
        <v>4.0922294654998438E+17</v>
      </c>
      <c r="Q594" s="187">
        <f t="shared" si="151"/>
        <v>14219.999999999998</v>
      </c>
      <c r="R594" s="219">
        <f t="shared" si="152"/>
        <v>77.783399999999986</v>
      </c>
      <c r="S594" s="219">
        <f t="shared" si="153"/>
        <v>0.85319999999999985</v>
      </c>
      <c r="T594" s="219">
        <f t="shared" si="154"/>
        <v>120.15899999999998</v>
      </c>
      <c r="U594" s="219">
        <f t="shared" si="155"/>
        <v>0.77720798548502112</v>
      </c>
      <c r="V594" s="188">
        <f t="shared" si="156"/>
        <v>3821273845898785.5</v>
      </c>
      <c r="W594" s="323">
        <v>2.282</v>
      </c>
      <c r="X594" s="323">
        <v>1.877</v>
      </c>
      <c r="Y594" s="323">
        <v>0.625</v>
      </c>
      <c r="Z594" s="323">
        <v>0.23699999999999999</v>
      </c>
      <c r="AA594" s="323">
        <v>46.42</v>
      </c>
      <c r="AB594" s="323">
        <v>35.57</v>
      </c>
      <c r="AC594" s="323">
        <v>13.2</v>
      </c>
      <c r="AD594" s="323">
        <v>5.47</v>
      </c>
      <c r="AE594" s="323">
        <v>0</v>
      </c>
      <c r="AF594" s="323">
        <v>0</v>
      </c>
      <c r="AG594" s="323">
        <v>0</v>
      </c>
      <c r="AH594" s="323">
        <v>0.06</v>
      </c>
      <c r="AI594" s="323">
        <v>0.51</v>
      </c>
      <c r="AJ594" s="323">
        <v>0.46</v>
      </c>
      <c r="AK594" s="323">
        <v>0.75</v>
      </c>
      <c r="AL594" s="323">
        <v>8.4499999999999993</v>
      </c>
      <c r="AM594" s="323">
        <v>2.3555334718261912E-2</v>
      </c>
      <c r="AN594" s="323">
        <v>3.4770004138711529E-2</v>
      </c>
      <c r="AO594" s="323">
        <v>4.5008019197302247E-2</v>
      </c>
      <c r="AP594" s="323">
        <v>5.3257764757398841E-3</v>
      </c>
      <c r="AQ594" s="323">
        <v>7.2515334718261909E-2</v>
      </c>
      <c r="AR594" s="323">
        <v>8.3730004138711511E-2</v>
      </c>
      <c r="AS594" s="323">
        <v>9.3968019197302244E-2</v>
      </c>
      <c r="AT594" s="323">
        <v>5.4655976475739887E-2</v>
      </c>
      <c r="AU594" s="190">
        <v>148567879020818.44</v>
      </c>
      <c r="AV594" s="190">
        <v>219300885774660.47</v>
      </c>
      <c r="AW594" s="190">
        <v>2270991613933600.5</v>
      </c>
      <c r="AX594" s="190">
        <v>268725305618761.31</v>
      </c>
      <c r="AY594" s="203">
        <v>17.3</v>
      </c>
      <c r="AZ594" s="239">
        <v>310.89999999999998</v>
      </c>
      <c r="BA594" s="203">
        <v>2012</v>
      </c>
      <c r="BB594" s="204">
        <v>41626</v>
      </c>
      <c r="BC594" s="203" t="s">
        <v>3164</v>
      </c>
    </row>
    <row r="595" spans="1:55" x14ac:dyDescent="0.2">
      <c r="A595" s="184" t="s">
        <v>2353</v>
      </c>
      <c r="B595" s="184" t="s">
        <v>2352</v>
      </c>
      <c r="C595" s="184" t="s">
        <v>934</v>
      </c>
      <c r="D595" s="185" t="s">
        <v>1043</v>
      </c>
      <c r="E595" s="184" t="s">
        <v>2354</v>
      </c>
      <c r="F595" s="184" t="s">
        <v>2354</v>
      </c>
      <c r="G595" s="186">
        <f>IF(ALECA_Input!$F$13="ICAO (3000ft)",'Aircraft Calc'!C$211,'Aircraft Calc'!G$211)</f>
        <v>0.7</v>
      </c>
      <c r="H595" s="186">
        <f>IF(ALECA_Input!$F$13="ICAO (3000ft)",'Aircraft Calc'!D$211,'Aircraft Calc'!H$211)</f>
        <v>2.2000000000000002</v>
      </c>
      <c r="I595" s="186">
        <f>IF(ALECA_Input!$F$13="ICAO (3000ft)",'Aircraft Calc'!E$211,'Aircraft Calc'!I$211)</f>
        <v>4</v>
      </c>
      <c r="J595" s="189">
        <v>1</v>
      </c>
      <c r="K595" s="187">
        <f t="shared" si="145"/>
        <v>535.99200000000008</v>
      </c>
      <c r="L595" s="187">
        <f t="shared" si="146"/>
        <v>18.654275760000001</v>
      </c>
      <c r="M595" s="187">
        <f t="shared" si="147"/>
        <v>0</v>
      </c>
      <c r="N595" s="187">
        <f t="shared" si="148"/>
        <v>0.28663728000000005</v>
      </c>
      <c r="O595" s="187">
        <f t="shared" si="149"/>
        <v>4.4817709887179986E-2</v>
      </c>
      <c r="P595" s="188">
        <f t="shared" si="150"/>
        <v>4.7667740389098848E+17</v>
      </c>
      <c r="Q595" s="187">
        <f t="shared" si="151"/>
        <v>14820</v>
      </c>
      <c r="R595" s="219">
        <f t="shared" si="152"/>
        <v>84.770399999999995</v>
      </c>
      <c r="S595" s="219">
        <f t="shared" si="153"/>
        <v>0.4446</v>
      </c>
      <c r="T595" s="219">
        <f t="shared" si="154"/>
        <v>109.81620000000001</v>
      </c>
      <c r="U595" s="219">
        <f t="shared" si="155"/>
        <v>0.80725838937046501</v>
      </c>
      <c r="V595" s="188">
        <f t="shared" si="156"/>
        <v>3982509029270042.5</v>
      </c>
      <c r="W595" s="323">
        <v>2.508</v>
      </c>
      <c r="X595" s="323">
        <v>2.048</v>
      </c>
      <c r="Y595" s="323">
        <v>0.66800000000000004</v>
      </c>
      <c r="Z595" s="323">
        <v>0.247</v>
      </c>
      <c r="AA595" s="323">
        <v>53.53</v>
      </c>
      <c r="AB595" s="323">
        <v>39.979999999999997</v>
      </c>
      <c r="AC595" s="323">
        <v>13.77</v>
      </c>
      <c r="AD595" s="323">
        <v>5.72</v>
      </c>
      <c r="AE595" s="323">
        <v>0</v>
      </c>
      <c r="AF595" s="323">
        <v>0</v>
      </c>
      <c r="AG595" s="323">
        <v>0</v>
      </c>
      <c r="AH595" s="323">
        <v>0.03</v>
      </c>
      <c r="AI595" s="323">
        <v>0.5</v>
      </c>
      <c r="AJ595" s="323">
        <v>0.48</v>
      </c>
      <c r="AK595" s="323">
        <v>0.65</v>
      </c>
      <c r="AL595" s="323">
        <v>7.41</v>
      </c>
      <c r="AM595" s="323">
        <v>2.1354478009686265E-2</v>
      </c>
      <c r="AN595" s="323">
        <v>3.0270104056816766E-2</v>
      </c>
      <c r="AO595" s="323">
        <v>5.0792461459880561E-2</v>
      </c>
      <c r="AP595" s="323">
        <v>5.3257764757398841E-3</v>
      </c>
      <c r="AQ595" s="323">
        <v>7.0314478009686265E-2</v>
      </c>
      <c r="AR595" s="323">
        <v>7.9230104056816769E-2</v>
      </c>
      <c r="AS595" s="323">
        <v>9.9752461459880565E-2</v>
      </c>
      <c r="AT595" s="323">
        <v>5.4470876475739879E-2</v>
      </c>
      <c r="AU595" s="190">
        <v>134686666245339.34</v>
      </c>
      <c r="AV595" s="190">
        <v>190919178659524.16</v>
      </c>
      <c r="AW595" s="190">
        <v>2562860043246433.5</v>
      </c>
      <c r="AX595" s="190">
        <v>268725305618761.31</v>
      </c>
      <c r="AY595" s="203">
        <v>20.9</v>
      </c>
      <c r="AZ595" s="239">
        <v>334.7</v>
      </c>
      <c r="BA595" s="203">
        <v>2012</v>
      </c>
      <c r="BB595" s="204">
        <v>41626</v>
      </c>
      <c r="BC595" s="203" t="s">
        <v>3164</v>
      </c>
    </row>
    <row r="596" spans="1:55" x14ac:dyDescent="0.2">
      <c r="A596" s="184" t="s">
        <v>2356</v>
      </c>
      <c r="B596" s="184" t="s">
        <v>2355</v>
      </c>
      <c r="C596" s="184" t="s">
        <v>934</v>
      </c>
      <c r="D596" s="185" t="s">
        <v>1043</v>
      </c>
      <c r="E596" s="184" t="s">
        <v>2357</v>
      </c>
      <c r="F596" s="184" t="s">
        <v>2357</v>
      </c>
      <c r="G596" s="186">
        <f>IF(ALECA_Input!$F$13="ICAO (3000ft)",'Aircraft Calc'!C$211,'Aircraft Calc'!G$211)</f>
        <v>0.7</v>
      </c>
      <c r="H596" s="186">
        <f>IF(ALECA_Input!$F$13="ICAO (3000ft)",'Aircraft Calc'!D$211,'Aircraft Calc'!H$211)</f>
        <v>2.2000000000000002</v>
      </c>
      <c r="I596" s="186">
        <f>IF(ALECA_Input!$F$13="ICAO (3000ft)",'Aircraft Calc'!E$211,'Aircraft Calc'!I$211)</f>
        <v>4</v>
      </c>
      <c r="J596" s="189">
        <v>1</v>
      </c>
      <c r="K596" s="187">
        <f t="shared" si="145"/>
        <v>535.99200000000008</v>
      </c>
      <c r="L596" s="187">
        <f t="shared" si="146"/>
        <v>18.654275760000001</v>
      </c>
      <c r="M596" s="187">
        <f t="shared" si="147"/>
        <v>0</v>
      </c>
      <c r="N596" s="187">
        <f t="shared" si="148"/>
        <v>0.28663728000000005</v>
      </c>
      <c r="O596" s="187">
        <f t="shared" si="149"/>
        <v>4.4817709887179986E-2</v>
      </c>
      <c r="P596" s="188">
        <f t="shared" si="150"/>
        <v>4.7667740389098848E+17</v>
      </c>
      <c r="Q596" s="187">
        <f t="shared" si="151"/>
        <v>14820</v>
      </c>
      <c r="R596" s="219">
        <f t="shared" si="152"/>
        <v>84.770399999999995</v>
      </c>
      <c r="S596" s="219">
        <f t="shared" si="153"/>
        <v>0.4446</v>
      </c>
      <c r="T596" s="219">
        <f t="shared" si="154"/>
        <v>109.81620000000001</v>
      </c>
      <c r="U596" s="219">
        <f t="shared" si="155"/>
        <v>0.80725838937046501</v>
      </c>
      <c r="V596" s="188">
        <f t="shared" si="156"/>
        <v>3982509029270042.5</v>
      </c>
      <c r="W596" s="323">
        <v>2.508</v>
      </c>
      <c r="X596" s="323">
        <v>2.048</v>
      </c>
      <c r="Y596" s="323">
        <v>0.66800000000000004</v>
      </c>
      <c r="Z596" s="323">
        <v>0.247</v>
      </c>
      <c r="AA596" s="323">
        <v>53.53</v>
      </c>
      <c r="AB596" s="323">
        <v>39.979999999999997</v>
      </c>
      <c r="AC596" s="323">
        <v>13.77</v>
      </c>
      <c r="AD596" s="323">
        <v>5.72</v>
      </c>
      <c r="AE596" s="323">
        <v>0</v>
      </c>
      <c r="AF596" s="323">
        <v>0</v>
      </c>
      <c r="AG596" s="323">
        <v>0</v>
      </c>
      <c r="AH596" s="323">
        <v>0.03</v>
      </c>
      <c r="AI596" s="323">
        <v>0.5</v>
      </c>
      <c r="AJ596" s="323">
        <v>0.48</v>
      </c>
      <c r="AK596" s="323">
        <v>0.65</v>
      </c>
      <c r="AL596" s="323">
        <v>7.41</v>
      </c>
      <c r="AM596" s="323">
        <v>2.1354478009686265E-2</v>
      </c>
      <c r="AN596" s="323">
        <v>3.0270104056816766E-2</v>
      </c>
      <c r="AO596" s="323">
        <v>5.0792461459880561E-2</v>
      </c>
      <c r="AP596" s="323">
        <v>5.3257764757398841E-3</v>
      </c>
      <c r="AQ596" s="323">
        <v>7.0314478009686265E-2</v>
      </c>
      <c r="AR596" s="323">
        <v>7.9230104056816769E-2</v>
      </c>
      <c r="AS596" s="323">
        <v>9.9752461459880565E-2</v>
      </c>
      <c r="AT596" s="323">
        <v>5.4470876475739879E-2</v>
      </c>
      <c r="AU596" s="190">
        <v>134686666245339.34</v>
      </c>
      <c r="AV596" s="190">
        <v>190919178659524.16</v>
      </c>
      <c r="AW596" s="190">
        <v>2562860043246433.5</v>
      </c>
      <c r="AX596" s="190">
        <v>268725305618761.31</v>
      </c>
      <c r="AY596" s="203">
        <v>20.9</v>
      </c>
      <c r="AZ596" s="239">
        <v>334.7</v>
      </c>
      <c r="BA596" s="203">
        <v>2012</v>
      </c>
      <c r="BB596" s="204">
        <v>41626</v>
      </c>
      <c r="BC596" s="203" t="s">
        <v>3164</v>
      </c>
    </row>
    <row r="597" spans="1:55" x14ac:dyDescent="0.2">
      <c r="A597" s="184" t="s">
        <v>2359</v>
      </c>
      <c r="B597" s="184" t="s">
        <v>2358</v>
      </c>
      <c r="C597" s="184" t="s">
        <v>934</v>
      </c>
      <c r="D597" s="185" t="s">
        <v>1043</v>
      </c>
      <c r="E597" s="184" t="s">
        <v>2360</v>
      </c>
      <c r="F597" s="184" t="s">
        <v>2360</v>
      </c>
      <c r="G597" s="186">
        <f>IF(ALECA_Input!$F$13="ICAO (3000ft)",'Aircraft Calc'!C$211,'Aircraft Calc'!G$211)</f>
        <v>0.7</v>
      </c>
      <c r="H597" s="186">
        <f>IF(ALECA_Input!$F$13="ICAO (3000ft)",'Aircraft Calc'!D$211,'Aircraft Calc'!H$211)</f>
        <v>2.2000000000000002</v>
      </c>
      <c r="I597" s="186">
        <f>IF(ALECA_Input!$F$13="ICAO (3000ft)",'Aircraft Calc'!E$211,'Aircraft Calc'!I$211)</f>
        <v>4</v>
      </c>
      <c r="J597" s="189">
        <v>1</v>
      </c>
      <c r="K597" s="187">
        <f t="shared" si="145"/>
        <v>420.28200000000004</v>
      </c>
      <c r="L597" s="187">
        <f t="shared" si="146"/>
        <v>10.47402222</v>
      </c>
      <c r="M597" s="187">
        <f t="shared" si="147"/>
        <v>0</v>
      </c>
      <c r="N597" s="187">
        <f t="shared" si="148"/>
        <v>0.25482540000000004</v>
      </c>
      <c r="O597" s="187">
        <f t="shared" si="149"/>
        <v>3.673797271635116E-2</v>
      </c>
      <c r="P597" s="188">
        <f t="shared" si="150"/>
        <v>3.0546821329420538E+17</v>
      </c>
      <c r="Q597" s="187">
        <f t="shared" si="151"/>
        <v>13020</v>
      </c>
      <c r="R597" s="219">
        <f t="shared" si="152"/>
        <v>65.099999999999994</v>
      </c>
      <c r="S597" s="219">
        <f t="shared" si="153"/>
        <v>1.302</v>
      </c>
      <c r="T597" s="219">
        <f t="shared" si="154"/>
        <v>145.82399999999998</v>
      </c>
      <c r="U597" s="219">
        <f t="shared" si="155"/>
        <v>0.72198595823045375</v>
      </c>
      <c r="V597" s="188">
        <f t="shared" si="156"/>
        <v>3859665775580016.5</v>
      </c>
      <c r="W597" s="323">
        <v>1.907</v>
      </c>
      <c r="X597" s="323">
        <v>1.579</v>
      </c>
      <c r="Y597" s="323">
        <v>0.54900000000000004</v>
      </c>
      <c r="Z597" s="323">
        <v>0.217</v>
      </c>
      <c r="AA597" s="323">
        <v>36.29</v>
      </c>
      <c r="AB597" s="323">
        <v>28.62</v>
      </c>
      <c r="AC597" s="323">
        <v>12.16</v>
      </c>
      <c r="AD597" s="323">
        <v>5</v>
      </c>
      <c r="AE597" s="323">
        <v>0</v>
      </c>
      <c r="AF597" s="323">
        <v>0</v>
      </c>
      <c r="AG597" s="323">
        <v>0</v>
      </c>
      <c r="AH597" s="323">
        <v>0.1</v>
      </c>
      <c r="AI597" s="323">
        <v>0.46</v>
      </c>
      <c r="AJ597" s="323">
        <v>0.42</v>
      </c>
      <c r="AK597" s="323">
        <v>0.99</v>
      </c>
      <c r="AL597" s="323">
        <v>11.2</v>
      </c>
      <c r="AM597" s="323">
        <v>3.0757185576139563E-2</v>
      </c>
      <c r="AN597" s="323">
        <v>4.3599633824905018E-2</v>
      </c>
      <c r="AO597" s="323">
        <v>3.4988733272302147E-2</v>
      </c>
      <c r="AP597" s="323">
        <v>5.8750705246124165E-3</v>
      </c>
      <c r="AQ597" s="323">
        <v>7.9717185576139563E-2</v>
      </c>
      <c r="AR597" s="323">
        <v>9.2559633824905008E-2</v>
      </c>
      <c r="AS597" s="323">
        <v>8.3948733272302151E-2</v>
      </c>
      <c r="AT597" s="323">
        <v>5.5452070524612422E-2</v>
      </c>
      <c r="AU597" s="190">
        <v>193991292433391.41</v>
      </c>
      <c r="AV597" s="190">
        <v>274991003139030.34</v>
      </c>
      <c r="AW597" s="190">
        <v>1765443608954033.5</v>
      </c>
      <c r="AX597" s="190">
        <v>296441303807989</v>
      </c>
      <c r="AY597" s="203">
        <v>12.2</v>
      </c>
      <c r="AZ597" s="239">
        <v>268</v>
      </c>
      <c r="BA597" s="203">
        <v>2012</v>
      </c>
      <c r="BB597" s="204">
        <v>41626</v>
      </c>
      <c r="BC597" s="203" t="s">
        <v>3164</v>
      </c>
    </row>
    <row r="598" spans="1:55" x14ac:dyDescent="0.2">
      <c r="A598" s="184" t="s">
        <v>2362</v>
      </c>
      <c r="B598" s="184" t="s">
        <v>2361</v>
      </c>
      <c r="C598" s="184" t="s">
        <v>934</v>
      </c>
      <c r="D598" s="185" t="s">
        <v>1043</v>
      </c>
      <c r="E598" s="184" t="s">
        <v>2363</v>
      </c>
      <c r="F598" s="184" t="s">
        <v>2363</v>
      </c>
      <c r="G598" s="186">
        <f>IF(ALECA_Input!$F$13="ICAO (3000ft)",'Aircraft Calc'!C$211,'Aircraft Calc'!G$211)</f>
        <v>0.7</v>
      </c>
      <c r="H598" s="186">
        <f>IF(ALECA_Input!$F$13="ICAO (3000ft)",'Aircraft Calc'!D$211,'Aircraft Calc'!H$211)</f>
        <v>2.2000000000000002</v>
      </c>
      <c r="I598" s="186">
        <f>IF(ALECA_Input!$F$13="ICAO (3000ft)",'Aircraft Calc'!E$211,'Aircraft Calc'!I$211)</f>
        <v>4</v>
      </c>
      <c r="J598" s="189">
        <v>1</v>
      </c>
      <c r="K598" s="187">
        <f t="shared" si="145"/>
        <v>516.46199999999999</v>
      </c>
      <c r="L598" s="187">
        <f t="shared" si="146"/>
        <v>16.994122739999998</v>
      </c>
      <c r="M598" s="187">
        <f t="shared" si="147"/>
        <v>0</v>
      </c>
      <c r="N598" s="187">
        <f t="shared" si="148"/>
        <v>0.28205063999999996</v>
      </c>
      <c r="O598" s="187">
        <f t="shared" si="149"/>
        <v>4.3633513230126528E-2</v>
      </c>
      <c r="P598" s="188">
        <f t="shared" si="150"/>
        <v>4.5201319243797613E+17</v>
      </c>
      <c r="Q598" s="187">
        <f t="shared" si="151"/>
        <v>14520</v>
      </c>
      <c r="R598" s="219">
        <f t="shared" si="152"/>
        <v>81.311999999999998</v>
      </c>
      <c r="S598" s="219">
        <f t="shared" si="153"/>
        <v>0.58079999999999998</v>
      </c>
      <c r="T598" s="219">
        <f t="shared" si="154"/>
        <v>114.41759999999999</v>
      </c>
      <c r="U598" s="219">
        <f t="shared" si="155"/>
        <v>0.7918130104277431</v>
      </c>
      <c r="V598" s="188">
        <f t="shared" si="156"/>
        <v>3901891437584414</v>
      </c>
      <c r="W598" s="323">
        <v>2.403</v>
      </c>
      <c r="X598" s="323">
        <v>1.968</v>
      </c>
      <c r="Y598" s="323">
        <v>0.64900000000000002</v>
      </c>
      <c r="Z598" s="323">
        <v>0.24199999999999999</v>
      </c>
      <c r="AA598" s="323">
        <v>50.15</v>
      </c>
      <c r="AB598" s="323">
        <v>37.840000000000003</v>
      </c>
      <c r="AC598" s="323">
        <v>13.5</v>
      </c>
      <c r="AD598" s="323">
        <v>5.6</v>
      </c>
      <c r="AE598" s="323">
        <v>0</v>
      </c>
      <c r="AF598" s="323">
        <v>0</v>
      </c>
      <c r="AG598" s="323">
        <v>0</v>
      </c>
      <c r="AH598" s="323">
        <v>0.04</v>
      </c>
      <c r="AI598" s="323">
        <v>0.52</v>
      </c>
      <c r="AJ598" s="323">
        <v>0.47</v>
      </c>
      <c r="AK598" s="323">
        <v>0.69</v>
      </c>
      <c r="AL598" s="323">
        <v>7.88</v>
      </c>
      <c r="AM598" s="323">
        <v>2.2456995902122946E-2</v>
      </c>
      <c r="AN598" s="323">
        <v>3.2582151268579343E-2</v>
      </c>
      <c r="AO598" s="323">
        <v>4.8902016010287597E-2</v>
      </c>
      <c r="AP598" s="323">
        <v>5.3257764757398841E-3</v>
      </c>
      <c r="AQ598" s="323">
        <v>7.1416995902122943E-2</v>
      </c>
      <c r="AR598" s="323">
        <v>8.1542151268579333E-2</v>
      </c>
      <c r="AS598" s="323">
        <v>9.78620160102876E-2</v>
      </c>
      <c r="AT598" s="323">
        <v>5.4532576475739884E-2</v>
      </c>
      <c r="AU598" s="190">
        <v>141640451738985.13</v>
      </c>
      <c r="AV598" s="190">
        <v>205501690627874.94</v>
      </c>
      <c r="AW598" s="190">
        <v>2467472913592838.5</v>
      </c>
      <c r="AX598" s="190">
        <v>268725305618761.31</v>
      </c>
      <c r="AY598" s="203">
        <v>19.100000000000001</v>
      </c>
      <c r="AZ598" s="239">
        <v>323.7</v>
      </c>
      <c r="BA598" s="203">
        <v>2012</v>
      </c>
      <c r="BB598" s="204">
        <v>41626</v>
      </c>
      <c r="BC598" s="203" t="s">
        <v>3164</v>
      </c>
    </row>
    <row r="599" spans="1:55" x14ac:dyDescent="0.2">
      <c r="A599" s="184" t="s">
        <v>2365</v>
      </c>
      <c r="B599" s="184" t="s">
        <v>2364</v>
      </c>
      <c r="C599" s="184" t="s">
        <v>934</v>
      </c>
      <c r="D599" s="185" t="s">
        <v>1043</v>
      </c>
      <c r="E599" s="184" t="s">
        <v>2366</v>
      </c>
      <c r="F599" s="184" t="s">
        <v>2366</v>
      </c>
      <c r="G599" s="186">
        <f>IF(ALECA_Input!$F$13="ICAO (3000ft)",'Aircraft Calc'!C$211,'Aircraft Calc'!G$211)</f>
        <v>0.7</v>
      </c>
      <c r="H599" s="186">
        <f>IF(ALECA_Input!$F$13="ICAO (3000ft)",'Aircraft Calc'!D$211,'Aircraft Calc'!H$211)</f>
        <v>2.2000000000000002</v>
      </c>
      <c r="I599" s="186">
        <f>IF(ALECA_Input!$F$13="ICAO (3000ft)",'Aircraft Calc'!E$211,'Aircraft Calc'!I$211)</f>
        <v>4</v>
      </c>
      <c r="J599" s="189">
        <v>1</v>
      </c>
      <c r="K599" s="187">
        <f t="shared" si="145"/>
        <v>452.57999999999993</v>
      </c>
      <c r="L599" s="187">
        <f t="shared" si="146"/>
        <v>12.409546799999998</v>
      </c>
      <c r="M599" s="187">
        <f t="shared" si="147"/>
        <v>0</v>
      </c>
      <c r="N599" s="187">
        <f t="shared" si="148"/>
        <v>0.26139060000000003</v>
      </c>
      <c r="O599" s="187">
        <f t="shared" si="149"/>
        <v>3.9080088029916152E-2</v>
      </c>
      <c r="P599" s="188">
        <f t="shared" si="150"/>
        <v>3.4764908397311821E+17</v>
      </c>
      <c r="Q599" s="187">
        <f t="shared" si="151"/>
        <v>13560</v>
      </c>
      <c r="R599" s="219">
        <f t="shared" si="152"/>
        <v>70.647599999999997</v>
      </c>
      <c r="S599" s="219">
        <f t="shared" si="153"/>
        <v>0.94920000000000015</v>
      </c>
      <c r="T599" s="219">
        <f t="shared" si="154"/>
        <v>132.88800000000001</v>
      </c>
      <c r="U599" s="219">
        <f t="shared" si="155"/>
        <v>0.74197169301103283</v>
      </c>
      <c r="V599" s="188">
        <f t="shared" si="156"/>
        <v>3643915144190403.5</v>
      </c>
      <c r="W599" s="323">
        <v>2.0699999999999998</v>
      </c>
      <c r="X599" s="323">
        <v>1.71</v>
      </c>
      <c r="Y599" s="323">
        <v>0.58299999999999996</v>
      </c>
      <c r="Z599" s="323">
        <v>0.22600000000000001</v>
      </c>
      <c r="AA599" s="323">
        <v>40.54</v>
      </c>
      <c r="AB599" s="323">
        <v>31.54</v>
      </c>
      <c r="AC599" s="323">
        <v>12.62</v>
      </c>
      <c r="AD599" s="323">
        <v>5.21</v>
      </c>
      <c r="AE599" s="323">
        <v>0</v>
      </c>
      <c r="AF599" s="323">
        <v>0</v>
      </c>
      <c r="AG599" s="323">
        <v>0</v>
      </c>
      <c r="AH599" s="323">
        <v>7.0000000000000007E-2</v>
      </c>
      <c r="AI599" s="323">
        <v>0.49</v>
      </c>
      <c r="AJ599" s="323">
        <v>0.43</v>
      </c>
      <c r="AK599" s="323">
        <v>0.87</v>
      </c>
      <c r="AL599" s="323">
        <v>9.8000000000000007</v>
      </c>
      <c r="AM599" s="323">
        <v>2.6776620565540987E-2</v>
      </c>
      <c r="AN599" s="323">
        <v>4.0479311715481116E-2</v>
      </c>
      <c r="AO599" s="323">
        <v>3.8999582600983601E-2</v>
      </c>
      <c r="AP599" s="323">
        <v>5.3257764757398841E-3</v>
      </c>
      <c r="AQ599" s="323">
        <v>7.573662056554098E-2</v>
      </c>
      <c r="AR599" s="323">
        <v>8.9439311715481112E-2</v>
      </c>
      <c r="AS599" s="323">
        <v>8.7959582600983591E-2</v>
      </c>
      <c r="AT599" s="323">
        <v>5.4717676475739885E-2</v>
      </c>
      <c r="AU599" s="190">
        <v>168885128245852.78</v>
      </c>
      <c r="AV599" s="190">
        <v>255310550995020.97</v>
      </c>
      <c r="AW599" s="190">
        <v>1967820993087676.3</v>
      </c>
      <c r="AX599" s="190">
        <v>268725305618761.31</v>
      </c>
      <c r="AY599" s="203">
        <v>14.2</v>
      </c>
      <c r="AZ599" s="239">
        <v>287.10000000000002</v>
      </c>
      <c r="BA599" s="203">
        <v>2012</v>
      </c>
      <c r="BB599" s="204">
        <v>41626</v>
      </c>
      <c r="BC599" s="203" t="s">
        <v>3164</v>
      </c>
    </row>
    <row r="600" spans="1:55" x14ac:dyDescent="0.2">
      <c r="A600" s="184" t="s">
        <v>2368</v>
      </c>
      <c r="B600" s="184" t="s">
        <v>2367</v>
      </c>
      <c r="C600" s="184" t="s">
        <v>934</v>
      </c>
      <c r="D600" s="185" t="s">
        <v>1043</v>
      </c>
      <c r="E600" s="184" t="s">
        <v>2369</v>
      </c>
      <c r="F600" s="184" t="s">
        <v>2370</v>
      </c>
      <c r="G600" s="186">
        <f>IF(ALECA_Input!$F$13="ICAO (3000ft)",'Aircraft Calc'!C$211,'Aircraft Calc'!G$211)</f>
        <v>0.7</v>
      </c>
      <c r="H600" s="186">
        <f>IF(ALECA_Input!$F$13="ICAO (3000ft)",'Aircraft Calc'!D$211,'Aircraft Calc'!H$211)</f>
        <v>2.2000000000000002</v>
      </c>
      <c r="I600" s="186">
        <f>IF(ALECA_Input!$F$13="ICAO (3000ft)",'Aircraft Calc'!E$211,'Aircraft Calc'!I$211)</f>
        <v>4</v>
      </c>
      <c r="J600" s="189">
        <v>1</v>
      </c>
      <c r="K600" s="187">
        <f t="shared" si="145"/>
        <v>494.11200000000002</v>
      </c>
      <c r="L600" s="187">
        <f t="shared" si="146"/>
        <v>15.200677199999999</v>
      </c>
      <c r="M600" s="187">
        <f t="shared" si="147"/>
        <v>0</v>
      </c>
      <c r="N600" s="187">
        <f t="shared" si="148"/>
        <v>0.27602928000000004</v>
      </c>
      <c r="O600" s="187">
        <f t="shared" si="149"/>
        <v>4.1829444131996678E-2</v>
      </c>
      <c r="P600" s="188">
        <f t="shared" si="150"/>
        <v>4.0883512684908934E+17</v>
      </c>
      <c r="Q600" s="187">
        <f t="shared" si="151"/>
        <v>14700</v>
      </c>
      <c r="R600" s="219">
        <f t="shared" si="152"/>
        <v>80.555999999999997</v>
      </c>
      <c r="S600" s="219">
        <f t="shared" si="153"/>
        <v>0.58799999999999997</v>
      </c>
      <c r="T600" s="219">
        <f t="shared" si="154"/>
        <v>123.48</v>
      </c>
      <c r="U600" s="219">
        <f t="shared" si="155"/>
        <v>0.80162887419337625</v>
      </c>
      <c r="V600" s="188">
        <f t="shared" si="156"/>
        <v>3950261992595791</v>
      </c>
      <c r="W600" s="323">
        <v>2.2839999999999998</v>
      </c>
      <c r="X600" s="323">
        <v>1.8819999999999999</v>
      </c>
      <c r="Y600" s="323">
        <v>0.624</v>
      </c>
      <c r="Z600" s="323">
        <v>0.245</v>
      </c>
      <c r="AA600" s="323">
        <v>46.11</v>
      </c>
      <c r="AB600" s="323">
        <v>35.479999999999997</v>
      </c>
      <c r="AC600" s="323">
        <v>13.11</v>
      </c>
      <c r="AD600" s="323">
        <v>5.48</v>
      </c>
      <c r="AE600" s="323">
        <v>0</v>
      </c>
      <c r="AF600" s="323">
        <v>0</v>
      </c>
      <c r="AG600" s="323">
        <v>0</v>
      </c>
      <c r="AH600" s="323">
        <v>0.04</v>
      </c>
      <c r="AI600" s="323">
        <v>0.51</v>
      </c>
      <c r="AJ600" s="323">
        <v>0.45</v>
      </c>
      <c r="AK600" s="323">
        <v>0.77</v>
      </c>
      <c r="AL600" s="323">
        <v>8.4</v>
      </c>
      <c r="AM600" s="323">
        <v>2.3555334718261912E-2</v>
      </c>
      <c r="AN600" s="323">
        <v>3.4770004138711529E-2</v>
      </c>
      <c r="AO600" s="323">
        <v>4.5008019197302247E-2</v>
      </c>
      <c r="AP600" s="323">
        <v>5.3257764757398841E-3</v>
      </c>
      <c r="AQ600" s="323">
        <v>7.2515334718261909E-2</v>
      </c>
      <c r="AR600" s="323">
        <v>8.3730004138711511E-2</v>
      </c>
      <c r="AS600" s="323">
        <v>9.3968019197302244E-2</v>
      </c>
      <c r="AT600" s="323">
        <v>5.4532576475739884E-2</v>
      </c>
      <c r="AU600" s="190">
        <v>148567879020818.44</v>
      </c>
      <c r="AV600" s="190">
        <v>219300885774660.47</v>
      </c>
      <c r="AW600" s="190">
        <v>2270991613933600.5</v>
      </c>
      <c r="AX600" s="190">
        <v>268725305618761.31</v>
      </c>
      <c r="AY600" s="203">
        <v>17.3</v>
      </c>
      <c r="AZ600" s="239">
        <v>310.89999999999998</v>
      </c>
      <c r="BA600" s="203">
        <v>2012</v>
      </c>
      <c r="BB600" s="204">
        <v>41626</v>
      </c>
      <c r="BC600" s="203" t="s">
        <v>2371</v>
      </c>
    </row>
    <row r="601" spans="1:55" x14ac:dyDescent="0.2">
      <c r="A601" s="184" t="s">
        <v>2373</v>
      </c>
      <c r="B601" s="184" t="s">
        <v>2372</v>
      </c>
      <c r="C601" s="184" t="s">
        <v>934</v>
      </c>
      <c r="D601" s="185" t="s">
        <v>1043</v>
      </c>
      <c r="E601" s="184" t="s">
        <v>2374</v>
      </c>
      <c r="F601" s="184" t="s">
        <v>2375</v>
      </c>
      <c r="G601" s="186">
        <f>IF(ALECA_Input!$F$13="ICAO (3000ft)",'Aircraft Calc'!C$211,'Aircraft Calc'!G$211)</f>
        <v>0.7</v>
      </c>
      <c r="H601" s="186">
        <f>IF(ALECA_Input!$F$13="ICAO (3000ft)",'Aircraft Calc'!D$211,'Aircraft Calc'!H$211)</f>
        <v>2.2000000000000002</v>
      </c>
      <c r="I601" s="186">
        <f>IF(ALECA_Input!$F$13="ICAO (3000ft)",'Aircraft Calc'!E$211,'Aircraft Calc'!I$211)</f>
        <v>4</v>
      </c>
      <c r="J601" s="189">
        <v>1</v>
      </c>
      <c r="K601" s="187">
        <f t="shared" si="145"/>
        <v>535.9620000000001</v>
      </c>
      <c r="L601" s="187">
        <f t="shared" si="146"/>
        <v>18.521797260000003</v>
      </c>
      <c r="M601" s="187">
        <f t="shared" si="147"/>
        <v>0</v>
      </c>
      <c r="N601" s="187">
        <f t="shared" si="148"/>
        <v>0.28973388</v>
      </c>
      <c r="O601" s="187">
        <f t="shared" si="149"/>
        <v>4.4807354533974705E-2</v>
      </c>
      <c r="P601" s="188">
        <f t="shared" si="150"/>
        <v>4.7554495352823392E+17</v>
      </c>
      <c r="Q601" s="187">
        <f t="shared" si="151"/>
        <v>14820</v>
      </c>
      <c r="R601" s="219">
        <f t="shared" si="152"/>
        <v>85.066800000000001</v>
      </c>
      <c r="S601" s="219">
        <f t="shared" si="153"/>
        <v>0.4446</v>
      </c>
      <c r="T601" s="219">
        <f t="shared" si="154"/>
        <v>109.2234</v>
      </c>
      <c r="U601" s="219">
        <f t="shared" si="155"/>
        <v>0.80725838937046501</v>
      </c>
      <c r="V601" s="188">
        <f t="shared" si="156"/>
        <v>3982509029270042.5</v>
      </c>
      <c r="W601" s="323">
        <v>2.5030000000000001</v>
      </c>
      <c r="X601" s="323">
        <v>2.0529999999999999</v>
      </c>
      <c r="Y601" s="323">
        <v>0.66600000000000004</v>
      </c>
      <c r="Z601" s="323">
        <v>0.247</v>
      </c>
      <c r="AA601" s="323">
        <v>52.65</v>
      </c>
      <c r="AB601" s="323">
        <v>39.86</v>
      </c>
      <c r="AC601" s="323">
        <v>13.67</v>
      </c>
      <c r="AD601" s="323">
        <v>5.74</v>
      </c>
      <c r="AE601" s="323">
        <v>0</v>
      </c>
      <c r="AF601" s="323">
        <v>0</v>
      </c>
      <c r="AG601" s="323">
        <v>0</v>
      </c>
      <c r="AH601" s="323">
        <v>0.03</v>
      </c>
      <c r="AI601" s="323">
        <v>0.5</v>
      </c>
      <c r="AJ601" s="323">
        <v>0.48</v>
      </c>
      <c r="AK601" s="323">
        <v>0.67</v>
      </c>
      <c r="AL601" s="323">
        <v>7.37</v>
      </c>
      <c r="AM601" s="323">
        <v>2.1354478009686265E-2</v>
      </c>
      <c r="AN601" s="323">
        <v>3.0270104056816766E-2</v>
      </c>
      <c r="AO601" s="323">
        <v>5.0792461459880561E-2</v>
      </c>
      <c r="AP601" s="323">
        <v>5.3257764757398841E-3</v>
      </c>
      <c r="AQ601" s="323">
        <v>7.0314478009686265E-2</v>
      </c>
      <c r="AR601" s="323">
        <v>7.9230104056816769E-2</v>
      </c>
      <c r="AS601" s="323">
        <v>9.9752461459880565E-2</v>
      </c>
      <c r="AT601" s="323">
        <v>5.4470876475739879E-2</v>
      </c>
      <c r="AU601" s="190">
        <v>134686666245339.34</v>
      </c>
      <c r="AV601" s="190">
        <v>190919178659524.16</v>
      </c>
      <c r="AW601" s="190">
        <v>2562860043246433.5</v>
      </c>
      <c r="AX601" s="190">
        <v>268725305618761.31</v>
      </c>
      <c r="AY601" s="203">
        <v>20.7</v>
      </c>
      <c r="AZ601" s="239">
        <v>334.7</v>
      </c>
      <c r="BA601" s="203">
        <v>2012</v>
      </c>
      <c r="BB601" s="204">
        <v>41626</v>
      </c>
      <c r="BC601" s="203" t="s">
        <v>2371</v>
      </c>
    </row>
    <row r="602" spans="1:55" x14ac:dyDescent="0.2">
      <c r="A602" s="184" t="s">
        <v>659</v>
      </c>
      <c r="B602" s="184" t="s">
        <v>2376</v>
      </c>
      <c r="C602" s="184" t="s">
        <v>2377</v>
      </c>
      <c r="D602" s="185" t="s">
        <v>1043</v>
      </c>
      <c r="E602" s="184" t="s">
        <v>215</v>
      </c>
      <c r="F602" s="184" t="s">
        <v>215</v>
      </c>
      <c r="G602" s="186">
        <f>IF(ALECA_Input!$F$13="ICAO (3000ft)",'Aircraft Calc'!C$211,'Aircraft Calc'!G$211)</f>
        <v>0.7</v>
      </c>
      <c r="H602" s="186">
        <f>IF(ALECA_Input!$F$13="ICAO (3000ft)",'Aircraft Calc'!D$211,'Aircraft Calc'!H$211)</f>
        <v>2.2000000000000002</v>
      </c>
      <c r="I602" s="186">
        <f>IF(ALECA_Input!$F$13="ICAO (3000ft)",'Aircraft Calc'!E$211,'Aircraft Calc'!I$211)</f>
        <v>4</v>
      </c>
      <c r="J602" s="189">
        <v>1</v>
      </c>
      <c r="K602" s="187">
        <f t="shared" si="145"/>
        <v>147.62400000000002</v>
      </c>
      <c r="L602" s="187">
        <f t="shared" si="146"/>
        <v>2.6959200000000001</v>
      </c>
      <c r="M602" s="187">
        <f t="shared" si="147"/>
        <v>0</v>
      </c>
      <c r="N602" s="187">
        <f t="shared" si="148"/>
        <v>0.17818440000000002</v>
      </c>
      <c r="O602" s="187">
        <f t="shared" si="149"/>
        <v>1.8677345161890797E-2</v>
      </c>
      <c r="P602" s="188">
        <f t="shared" si="150"/>
        <v>2.0661671474572278E+17</v>
      </c>
      <c r="Q602" s="187">
        <f t="shared" si="151"/>
        <v>6000</v>
      </c>
      <c r="R602" s="219">
        <f t="shared" si="152"/>
        <v>33</v>
      </c>
      <c r="S602" s="219">
        <f t="shared" si="153"/>
        <v>32.400000000000006</v>
      </c>
      <c r="T602" s="219">
        <f t="shared" si="154"/>
        <v>124.19999999999999</v>
      </c>
      <c r="U602" s="219">
        <f t="shared" si="155"/>
        <v>0.9531254888130215</v>
      </c>
      <c r="V602" s="188">
        <f t="shared" si="156"/>
        <v>2.3183070987400952E+16</v>
      </c>
      <c r="W602" s="323">
        <v>0.63400000000000001</v>
      </c>
      <c r="X602" s="323">
        <v>0.53300000000000003</v>
      </c>
      <c r="Y602" s="323">
        <v>0.21099999999999999</v>
      </c>
      <c r="Z602" s="323">
        <v>0.1</v>
      </c>
      <c r="AA602" s="323">
        <v>26</v>
      </c>
      <c r="AB602" s="323">
        <v>22</v>
      </c>
      <c r="AC602" s="323">
        <v>9</v>
      </c>
      <c r="AD602" s="323">
        <v>5.5</v>
      </c>
      <c r="AE602" s="323">
        <v>0</v>
      </c>
      <c r="AF602" s="323">
        <v>0</v>
      </c>
      <c r="AG602" s="323">
        <v>0</v>
      </c>
      <c r="AH602" s="323">
        <v>5.4</v>
      </c>
      <c r="AI602" s="323">
        <v>0.5</v>
      </c>
      <c r="AJ602" s="323">
        <v>0.4</v>
      </c>
      <c r="AK602" s="323">
        <v>2.7</v>
      </c>
      <c r="AL602" s="323">
        <v>20.7</v>
      </c>
      <c r="AM602" s="323">
        <v>8.5930347535826013E-2</v>
      </c>
      <c r="AN602" s="323">
        <v>8.6948381583164591E-2</v>
      </c>
      <c r="AO602" s="323">
        <v>6.0114148756747476E-2</v>
      </c>
      <c r="AP602" s="323">
        <v>7.657624813550358E-2</v>
      </c>
      <c r="AQ602" s="323">
        <v>0.13489034753582602</v>
      </c>
      <c r="AR602" s="323">
        <v>0.13590838158316459</v>
      </c>
      <c r="AS602" s="323">
        <v>0.10907414875674748</v>
      </c>
      <c r="AT602" s="323">
        <v>0.15885424813550358</v>
      </c>
      <c r="AU602" s="190">
        <v>541978691010572.44</v>
      </c>
      <c r="AV602" s="190">
        <v>548399621173233.75</v>
      </c>
      <c r="AW602" s="190">
        <v>3033208973424747.5</v>
      </c>
      <c r="AX602" s="190">
        <v>3863845164566825</v>
      </c>
      <c r="AY602" s="203">
        <v>3.6</v>
      </c>
      <c r="AZ602" s="239">
        <v>63.765000000000001</v>
      </c>
      <c r="BA602" s="203">
        <v>1984</v>
      </c>
      <c r="BB602" s="204">
        <v>41943</v>
      </c>
      <c r="BC602" s="203" t="s">
        <v>3165</v>
      </c>
    </row>
    <row r="603" spans="1:55" x14ac:dyDescent="0.2">
      <c r="A603" s="184" t="s">
        <v>711</v>
      </c>
      <c r="B603" s="184" t="s">
        <v>2378</v>
      </c>
      <c r="C603" s="184" t="s">
        <v>2377</v>
      </c>
      <c r="D603" s="185" t="s">
        <v>1043</v>
      </c>
      <c r="E603" s="184" t="s">
        <v>2379</v>
      </c>
      <c r="F603" s="184" t="s">
        <v>2379</v>
      </c>
      <c r="G603" s="186">
        <f>IF(ALECA_Input!$F$13="ICAO (3000ft)",'Aircraft Calc'!C$211,'Aircraft Calc'!G$211)</f>
        <v>0.7</v>
      </c>
      <c r="H603" s="186">
        <f>IF(ALECA_Input!$F$13="ICAO (3000ft)",'Aircraft Calc'!D$211,'Aircraft Calc'!H$211)</f>
        <v>2.2000000000000002</v>
      </c>
      <c r="I603" s="186">
        <f>IF(ALECA_Input!$F$13="ICAO (3000ft)",'Aircraft Calc'!E$211,'Aircraft Calc'!I$211)</f>
        <v>4</v>
      </c>
      <c r="J603" s="189">
        <v>1</v>
      </c>
      <c r="K603" s="187">
        <f t="shared" si="145"/>
        <v>137.11199999999999</v>
      </c>
      <c r="L603" s="187">
        <f t="shared" si="146"/>
        <v>1.80395208</v>
      </c>
      <c r="M603" s="187">
        <f t="shared" si="147"/>
        <v>8.4350400000000013E-3</v>
      </c>
      <c r="N603" s="187">
        <f t="shared" si="148"/>
        <v>0.20222448000000004</v>
      </c>
      <c r="O603" s="187">
        <f t="shared" si="149"/>
        <v>1.2287297516683893E-2</v>
      </c>
      <c r="P603" s="188">
        <f t="shared" si="150"/>
        <v>6.8477567631610264E+16</v>
      </c>
      <c r="Q603" s="187">
        <f t="shared" si="151"/>
        <v>5580</v>
      </c>
      <c r="R603" s="219">
        <f t="shared" si="152"/>
        <v>20.311199999999999</v>
      </c>
      <c r="S603" s="219">
        <f t="shared" si="153"/>
        <v>12.610799999999999</v>
      </c>
      <c r="T603" s="219">
        <f t="shared" si="154"/>
        <v>130.9068</v>
      </c>
      <c r="U603" s="219">
        <f t="shared" si="155"/>
        <v>0.46631494055916795</v>
      </c>
      <c r="V603" s="188">
        <f t="shared" si="156"/>
        <v>5818228007608138</v>
      </c>
      <c r="W603" s="323">
        <v>0.54800000000000004</v>
      </c>
      <c r="X603" s="323">
        <v>0.46800000000000003</v>
      </c>
      <c r="Y603" s="323">
        <v>0.218</v>
      </c>
      <c r="Z603" s="323">
        <v>9.2999999999999999E-2</v>
      </c>
      <c r="AA603" s="323">
        <v>18.93</v>
      </c>
      <c r="AB603" s="323">
        <v>16</v>
      </c>
      <c r="AC603" s="323">
        <v>7.26</v>
      </c>
      <c r="AD603" s="323">
        <v>3.64</v>
      </c>
      <c r="AE603" s="323">
        <v>0.1</v>
      </c>
      <c r="AF603" s="323">
        <v>0.04</v>
      </c>
      <c r="AG603" s="323">
        <v>7.0000000000000007E-2</v>
      </c>
      <c r="AH603" s="323">
        <v>2.2599999999999998</v>
      </c>
      <c r="AI603" s="323">
        <v>0.54</v>
      </c>
      <c r="AJ603" s="323">
        <v>0.54</v>
      </c>
      <c r="AK603" s="323">
        <v>2.99</v>
      </c>
      <c r="AL603" s="323">
        <v>23.46</v>
      </c>
      <c r="AM603" s="323">
        <v>4.6199933253433315E-2</v>
      </c>
      <c r="AN603" s="323">
        <v>4.8622610961824034E-2</v>
      </c>
      <c r="AO603" s="323">
        <v>1.6222340943142739E-2</v>
      </c>
      <c r="AP603" s="323">
        <v>2.0664785763291747E-2</v>
      </c>
      <c r="AQ603" s="323">
        <v>0.10665993325343331</v>
      </c>
      <c r="AR603" s="323">
        <v>0.10062261096182404</v>
      </c>
      <c r="AS603" s="323">
        <v>6.9119840943142746E-2</v>
      </c>
      <c r="AT603" s="323">
        <v>8.3568985763291748E-2</v>
      </c>
      <c r="AU603" s="190">
        <v>291391575473754.56</v>
      </c>
      <c r="AV603" s="190">
        <v>306671854569410.06</v>
      </c>
      <c r="AW603" s="190">
        <v>818538582619007.25</v>
      </c>
      <c r="AX603" s="190">
        <v>1042693191327623.3</v>
      </c>
      <c r="AY603" s="203">
        <v>2.2999999999999998</v>
      </c>
      <c r="AZ603" s="239">
        <v>64.430000000000007</v>
      </c>
      <c r="BA603" s="203">
        <v>2006</v>
      </c>
      <c r="BB603" s="204">
        <v>41576</v>
      </c>
      <c r="BC603" s="203" t="s">
        <v>1109</v>
      </c>
    </row>
    <row r="604" spans="1:55" x14ac:dyDescent="0.2">
      <c r="A604" s="184" t="s">
        <v>711</v>
      </c>
      <c r="B604" s="184" t="s">
        <v>2380</v>
      </c>
      <c r="C604" s="184" t="s">
        <v>2377</v>
      </c>
      <c r="D604" s="185" t="s">
        <v>1043</v>
      </c>
      <c r="E604" s="184" t="s">
        <v>2381</v>
      </c>
      <c r="F604" s="184" t="s">
        <v>2381</v>
      </c>
      <c r="G604" s="186">
        <f>IF(ALECA_Input!$F$13="ICAO (3000ft)",'Aircraft Calc'!C$211,'Aircraft Calc'!G$211)</f>
        <v>0.7</v>
      </c>
      <c r="H604" s="186">
        <f>IF(ALECA_Input!$F$13="ICAO (3000ft)",'Aircraft Calc'!D$211,'Aircraft Calc'!H$211)</f>
        <v>2.2000000000000002</v>
      </c>
      <c r="I604" s="186">
        <f>IF(ALECA_Input!$F$13="ICAO (3000ft)",'Aircraft Calc'!E$211,'Aircraft Calc'!I$211)</f>
        <v>4</v>
      </c>
      <c r="J604" s="189">
        <v>1</v>
      </c>
      <c r="K604" s="187">
        <f t="shared" si="145"/>
        <v>143.47800000000001</v>
      </c>
      <c r="L604" s="187">
        <f t="shared" si="146"/>
        <v>1.95978816</v>
      </c>
      <c r="M604" s="187">
        <f t="shared" si="147"/>
        <v>9.769980000000001E-3</v>
      </c>
      <c r="N604" s="187">
        <f t="shared" si="148"/>
        <v>0.18408336</v>
      </c>
      <c r="O604" s="187">
        <f t="shared" si="149"/>
        <v>1.3099239833626484E-2</v>
      </c>
      <c r="P604" s="188">
        <f t="shared" si="150"/>
        <v>7.5529918520440976E+16</v>
      </c>
      <c r="Q604" s="187">
        <f t="shared" si="151"/>
        <v>5940</v>
      </c>
      <c r="R604" s="219">
        <f t="shared" si="152"/>
        <v>22.453199999999999</v>
      </c>
      <c r="S604" s="219">
        <f t="shared" si="153"/>
        <v>8.2566000000000006</v>
      </c>
      <c r="T604" s="219">
        <f t="shared" si="154"/>
        <v>116.18640000000001</v>
      </c>
      <c r="U604" s="219">
        <f t="shared" si="155"/>
        <v>0.47475273452425054</v>
      </c>
      <c r="V604" s="188">
        <f t="shared" si="156"/>
        <v>6710195709344155</v>
      </c>
      <c r="W604" s="323">
        <v>0.58099999999999996</v>
      </c>
      <c r="X604" s="323">
        <v>0.49299999999999999</v>
      </c>
      <c r="Y604" s="323">
        <v>0.22500000000000001</v>
      </c>
      <c r="Z604" s="323">
        <v>9.9000000000000005E-2</v>
      </c>
      <c r="AA604" s="323">
        <v>19.760000000000002</v>
      </c>
      <c r="AB604" s="323">
        <v>16.64</v>
      </c>
      <c r="AC604" s="323">
        <v>7.31</v>
      </c>
      <c r="AD604" s="323">
        <v>3.78</v>
      </c>
      <c r="AE604" s="323">
        <v>0.09</v>
      </c>
      <c r="AF604" s="323">
        <v>0.05</v>
      </c>
      <c r="AG604" s="323">
        <v>0.08</v>
      </c>
      <c r="AH604" s="323">
        <v>1.39</v>
      </c>
      <c r="AI604" s="323">
        <v>0.48</v>
      </c>
      <c r="AJ604" s="323">
        <v>0.4</v>
      </c>
      <c r="AK604" s="323">
        <v>2.71</v>
      </c>
      <c r="AL604" s="323">
        <v>19.559999999999999</v>
      </c>
      <c r="AM604" s="323">
        <v>4.704866652104861E-2</v>
      </c>
      <c r="AN604" s="323">
        <v>4.9704240831257386E-2</v>
      </c>
      <c r="AO604" s="323">
        <v>1.7575420682313912E-2</v>
      </c>
      <c r="AP604" s="323">
        <v>2.2388402781860346E-2</v>
      </c>
      <c r="AQ604" s="323">
        <v>0.10635866652104861</v>
      </c>
      <c r="AR604" s="323">
        <v>0.10246424083125738</v>
      </c>
      <c r="AS604" s="323">
        <v>7.1035420682313916E-2</v>
      </c>
      <c r="AT604" s="323">
        <v>7.9924702781860354E-2</v>
      </c>
      <c r="AU604" s="190">
        <v>296744694116821.63</v>
      </c>
      <c r="AV604" s="190">
        <v>313493895415329.13</v>
      </c>
      <c r="AW604" s="190">
        <v>886811588084339.5</v>
      </c>
      <c r="AX604" s="190">
        <v>1129662577330665.8</v>
      </c>
      <c r="AY604" s="203">
        <v>2.5</v>
      </c>
      <c r="AZ604" s="239">
        <v>68.72</v>
      </c>
      <c r="BA604" s="203">
        <v>2006</v>
      </c>
      <c r="BB604" s="204">
        <v>41576</v>
      </c>
      <c r="BC604" s="203" t="s">
        <v>1109</v>
      </c>
    </row>
    <row r="605" spans="1:55" x14ac:dyDescent="0.2">
      <c r="A605" s="184" t="s">
        <v>2383</v>
      </c>
      <c r="B605" s="184" t="s">
        <v>2382</v>
      </c>
      <c r="C605" s="184" t="s">
        <v>2377</v>
      </c>
      <c r="D605" s="185" t="s">
        <v>1043</v>
      </c>
      <c r="E605" s="184" t="s">
        <v>2384</v>
      </c>
      <c r="F605" s="184" t="s">
        <v>3166</v>
      </c>
      <c r="G605" s="186">
        <f>IF(ALECA_Input!$F$13="ICAO (3000ft)",'Aircraft Calc'!C$211,'Aircraft Calc'!G$211)</f>
        <v>0.7</v>
      </c>
      <c r="H605" s="186">
        <f>IF(ALECA_Input!$F$13="ICAO (3000ft)",'Aircraft Calc'!D$211,'Aircraft Calc'!H$211)</f>
        <v>2.2000000000000002</v>
      </c>
      <c r="I605" s="186">
        <f>IF(ALECA_Input!$F$13="ICAO (3000ft)",'Aircraft Calc'!E$211,'Aircraft Calc'!I$211)</f>
        <v>4</v>
      </c>
      <c r="J605" s="189">
        <v>1</v>
      </c>
      <c r="K605" s="187">
        <f t="shared" si="145"/>
        <v>147.62400000000002</v>
      </c>
      <c r="L605" s="187">
        <f t="shared" si="146"/>
        <v>2.6959200000000001</v>
      </c>
      <c r="M605" s="187">
        <f t="shared" si="147"/>
        <v>0</v>
      </c>
      <c r="N605" s="187">
        <f t="shared" si="148"/>
        <v>0.17818440000000002</v>
      </c>
      <c r="O605" s="187">
        <f t="shared" si="149"/>
        <v>1.8677345161890797E-2</v>
      </c>
      <c r="P605" s="188">
        <f t="shared" si="150"/>
        <v>2.0661671474572278E+17</v>
      </c>
      <c r="Q605" s="187">
        <f t="shared" si="151"/>
        <v>5520</v>
      </c>
      <c r="R605" s="219">
        <f t="shared" si="152"/>
        <v>30.36</v>
      </c>
      <c r="S605" s="219">
        <f t="shared" si="153"/>
        <v>29.808</v>
      </c>
      <c r="T605" s="219">
        <f t="shared" si="154"/>
        <v>114.26399999999998</v>
      </c>
      <c r="U605" s="219">
        <f t="shared" si="155"/>
        <v>0.8768754497079797</v>
      </c>
      <c r="V605" s="188">
        <f t="shared" si="156"/>
        <v>2.1328425308408872E+16</v>
      </c>
      <c r="W605" s="323">
        <v>0.63400000000000001</v>
      </c>
      <c r="X605" s="323">
        <v>0.53300000000000003</v>
      </c>
      <c r="Y605" s="323">
        <v>0.21099999999999999</v>
      </c>
      <c r="Z605" s="323">
        <v>9.1999999999999998E-2</v>
      </c>
      <c r="AA605" s="323">
        <v>26</v>
      </c>
      <c r="AB605" s="323">
        <v>22</v>
      </c>
      <c r="AC605" s="323">
        <v>9</v>
      </c>
      <c r="AD605" s="323">
        <v>5.5</v>
      </c>
      <c r="AE605" s="323">
        <v>0</v>
      </c>
      <c r="AF605" s="323">
        <v>0</v>
      </c>
      <c r="AG605" s="323">
        <v>0</v>
      </c>
      <c r="AH605" s="323">
        <v>5.4</v>
      </c>
      <c r="AI605" s="323">
        <v>0.5</v>
      </c>
      <c r="AJ605" s="323">
        <v>0.4</v>
      </c>
      <c r="AK605" s="323">
        <v>2.7</v>
      </c>
      <c r="AL605" s="323">
        <v>20.7</v>
      </c>
      <c r="AM605" s="323">
        <v>8.5930347535826013E-2</v>
      </c>
      <c r="AN605" s="323">
        <v>8.6948381583164591E-2</v>
      </c>
      <c r="AO605" s="323">
        <v>6.0114148756747476E-2</v>
      </c>
      <c r="AP605" s="323">
        <v>7.657624813550358E-2</v>
      </c>
      <c r="AQ605" s="323">
        <v>0.13489034753582602</v>
      </c>
      <c r="AR605" s="323">
        <v>0.13590838158316459</v>
      </c>
      <c r="AS605" s="323">
        <v>0.10907414875674748</v>
      </c>
      <c r="AT605" s="323">
        <v>0.15885424813550358</v>
      </c>
      <c r="AU605" s="190">
        <v>541978691010572.44</v>
      </c>
      <c r="AV605" s="190">
        <v>548399621173233.75</v>
      </c>
      <c r="AW605" s="190">
        <v>3033208973424747.5</v>
      </c>
      <c r="AX605" s="190">
        <v>3863845164566825</v>
      </c>
      <c r="AY605" s="203">
        <v>3.5</v>
      </c>
      <c r="AZ605" s="239">
        <v>63.77</v>
      </c>
      <c r="BA605" s="203">
        <v>1984</v>
      </c>
      <c r="BB605" s="204">
        <v>41943</v>
      </c>
      <c r="BC605" s="203" t="s">
        <v>3167</v>
      </c>
    </row>
    <row r="606" spans="1:55" x14ac:dyDescent="0.2">
      <c r="A606" s="184" t="s">
        <v>2386</v>
      </c>
      <c r="B606" s="184" t="s">
        <v>2385</v>
      </c>
      <c r="C606" s="184" t="s">
        <v>2377</v>
      </c>
      <c r="D606" s="185" t="s">
        <v>1043</v>
      </c>
      <c r="E606" s="184" t="s">
        <v>2379</v>
      </c>
      <c r="F606" s="184" t="s">
        <v>2387</v>
      </c>
      <c r="G606" s="186">
        <f>IF(ALECA_Input!$F$13="ICAO (3000ft)",'Aircraft Calc'!C$211,'Aircraft Calc'!G$211)</f>
        <v>0.7</v>
      </c>
      <c r="H606" s="186">
        <f>IF(ALECA_Input!$F$13="ICAO (3000ft)",'Aircraft Calc'!D$211,'Aircraft Calc'!H$211)</f>
        <v>2.2000000000000002</v>
      </c>
      <c r="I606" s="186">
        <f>IF(ALECA_Input!$F$13="ICAO (3000ft)",'Aircraft Calc'!E$211,'Aircraft Calc'!I$211)</f>
        <v>4</v>
      </c>
      <c r="J606" s="189">
        <v>1</v>
      </c>
      <c r="K606" s="187">
        <f t="shared" si="145"/>
        <v>137.11199999999999</v>
      </c>
      <c r="L606" s="187">
        <f t="shared" si="146"/>
        <v>1.80395208</v>
      </c>
      <c r="M606" s="187">
        <f t="shared" si="147"/>
        <v>8.4350400000000013E-3</v>
      </c>
      <c r="N606" s="187">
        <f t="shared" si="148"/>
        <v>0.20222448000000004</v>
      </c>
      <c r="O606" s="187">
        <f t="shared" si="149"/>
        <v>1.2287297516683893E-2</v>
      </c>
      <c r="P606" s="188">
        <f t="shared" si="150"/>
        <v>6.8477567631610264E+16</v>
      </c>
      <c r="Q606" s="187">
        <f t="shared" si="151"/>
        <v>5580</v>
      </c>
      <c r="R606" s="219">
        <f t="shared" si="152"/>
        <v>20.311199999999999</v>
      </c>
      <c r="S606" s="219">
        <f t="shared" si="153"/>
        <v>12.610799999999999</v>
      </c>
      <c r="T606" s="219">
        <f t="shared" si="154"/>
        <v>130.9068</v>
      </c>
      <c r="U606" s="219">
        <f t="shared" si="155"/>
        <v>0.46631494055916795</v>
      </c>
      <c r="V606" s="188">
        <f t="shared" si="156"/>
        <v>5818228007608138</v>
      </c>
      <c r="W606" s="323">
        <v>0.54800000000000004</v>
      </c>
      <c r="X606" s="323">
        <v>0.46800000000000003</v>
      </c>
      <c r="Y606" s="323">
        <v>0.218</v>
      </c>
      <c r="Z606" s="323">
        <v>9.2999999999999999E-2</v>
      </c>
      <c r="AA606" s="323">
        <v>18.93</v>
      </c>
      <c r="AB606" s="323">
        <v>16</v>
      </c>
      <c r="AC606" s="323">
        <v>7.26</v>
      </c>
      <c r="AD606" s="323">
        <v>3.64</v>
      </c>
      <c r="AE606" s="323">
        <v>0.1</v>
      </c>
      <c r="AF606" s="323">
        <v>0.04</v>
      </c>
      <c r="AG606" s="323">
        <v>7.0000000000000007E-2</v>
      </c>
      <c r="AH606" s="323">
        <v>2.2599999999999998</v>
      </c>
      <c r="AI606" s="323">
        <v>0.54</v>
      </c>
      <c r="AJ606" s="323">
        <v>0.54</v>
      </c>
      <c r="AK606" s="323">
        <v>2.99</v>
      </c>
      <c r="AL606" s="323">
        <v>23.46</v>
      </c>
      <c r="AM606" s="323">
        <v>4.6199933253433315E-2</v>
      </c>
      <c r="AN606" s="323">
        <v>4.8622610961824034E-2</v>
      </c>
      <c r="AO606" s="323">
        <v>1.6222340943142739E-2</v>
      </c>
      <c r="AP606" s="323">
        <v>2.0664785763291747E-2</v>
      </c>
      <c r="AQ606" s="323">
        <v>0.10665993325343331</v>
      </c>
      <c r="AR606" s="323">
        <v>0.10062261096182404</v>
      </c>
      <c r="AS606" s="323">
        <v>6.9119840943142746E-2</v>
      </c>
      <c r="AT606" s="323">
        <v>8.3568985763291748E-2</v>
      </c>
      <c r="AU606" s="190">
        <v>291391575473754.56</v>
      </c>
      <c r="AV606" s="190">
        <v>306671854569410.06</v>
      </c>
      <c r="AW606" s="190">
        <v>818538582619007.25</v>
      </c>
      <c r="AX606" s="190">
        <v>1042693191327623.3</v>
      </c>
      <c r="AY606" s="203">
        <v>2.2999999999999998</v>
      </c>
      <c r="AZ606" s="239">
        <v>64.430000000000007</v>
      </c>
      <c r="BA606" s="203">
        <v>2006</v>
      </c>
      <c r="BB606" s="204">
        <v>41943</v>
      </c>
      <c r="BC606" s="203" t="s">
        <v>3168</v>
      </c>
    </row>
    <row r="607" spans="1:55" x14ac:dyDescent="0.2">
      <c r="A607" s="184" t="s">
        <v>2389</v>
      </c>
      <c r="B607" s="184" t="s">
        <v>2388</v>
      </c>
      <c r="C607" s="184" t="s">
        <v>2377</v>
      </c>
      <c r="D607" s="185" t="s">
        <v>1043</v>
      </c>
      <c r="E607" s="184" t="s">
        <v>2381</v>
      </c>
      <c r="F607" s="184" t="s">
        <v>2387</v>
      </c>
      <c r="G607" s="186">
        <f>IF(ALECA_Input!$F$13="ICAO (3000ft)",'Aircraft Calc'!C$211,'Aircraft Calc'!G$211)</f>
        <v>0.7</v>
      </c>
      <c r="H607" s="186">
        <f>IF(ALECA_Input!$F$13="ICAO (3000ft)",'Aircraft Calc'!D$211,'Aircraft Calc'!H$211)</f>
        <v>2.2000000000000002</v>
      </c>
      <c r="I607" s="186">
        <f>IF(ALECA_Input!$F$13="ICAO (3000ft)",'Aircraft Calc'!E$211,'Aircraft Calc'!I$211)</f>
        <v>4</v>
      </c>
      <c r="J607" s="189">
        <v>1</v>
      </c>
      <c r="K607" s="187">
        <f t="shared" si="145"/>
        <v>143.47800000000001</v>
      </c>
      <c r="L607" s="187">
        <f t="shared" si="146"/>
        <v>1.95978816</v>
      </c>
      <c r="M607" s="187">
        <f t="shared" si="147"/>
        <v>9.769980000000001E-3</v>
      </c>
      <c r="N607" s="187">
        <f t="shared" si="148"/>
        <v>0.18408336</v>
      </c>
      <c r="O607" s="187">
        <f t="shared" si="149"/>
        <v>1.2935074593131647E-2</v>
      </c>
      <c r="P607" s="188">
        <f t="shared" si="150"/>
        <v>7.126859829409588E+16</v>
      </c>
      <c r="Q607" s="187">
        <f t="shared" si="151"/>
        <v>5940</v>
      </c>
      <c r="R607" s="219">
        <f t="shared" si="152"/>
        <v>22.453199999999999</v>
      </c>
      <c r="S607" s="219">
        <f t="shared" si="153"/>
        <v>8.2566000000000006</v>
      </c>
      <c r="T607" s="219">
        <f t="shared" si="154"/>
        <v>116.18640000000001</v>
      </c>
      <c r="U607" s="219">
        <f t="shared" si="155"/>
        <v>0.46451444943395298</v>
      </c>
      <c r="V607" s="188">
        <f t="shared" si="156"/>
        <v>6193597556486083</v>
      </c>
      <c r="W607" s="323">
        <v>0.58099999999999996</v>
      </c>
      <c r="X607" s="323">
        <v>0.49299999999999999</v>
      </c>
      <c r="Y607" s="323">
        <v>0.22500000000000001</v>
      </c>
      <c r="Z607" s="323">
        <v>9.9000000000000005E-2</v>
      </c>
      <c r="AA607" s="323">
        <v>19.760000000000002</v>
      </c>
      <c r="AB607" s="323">
        <v>16.64</v>
      </c>
      <c r="AC607" s="323">
        <v>7.31</v>
      </c>
      <c r="AD607" s="323">
        <v>3.78</v>
      </c>
      <c r="AE607" s="323">
        <v>0.09</v>
      </c>
      <c r="AF607" s="323">
        <v>0.05</v>
      </c>
      <c r="AG607" s="323">
        <v>0.08</v>
      </c>
      <c r="AH607" s="323">
        <v>1.39</v>
      </c>
      <c r="AI607" s="323">
        <v>0.48</v>
      </c>
      <c r="AJ607" s="323">
        <v>0.4</v>
      </c>
      <c r="AK607" s="323">
        <v>2.71</v>
      </c>
      <c r="AL607" s="323">
        <v>19.559999999999999</v>
      </c>
      <c r="AM607" s="323">
        <v>4.6199933253433315E-2</v>
      </c>
      <c r="AN607" s="323">
        <v>4.8622610961824034E-2</v>
      </c>
      <c r="AO607" s="323">
        <v>1.6222340943142739E-2</v>
      </c>
      <c r="AP607" s="323">
        <v>2.0664785763291747E-2</v>
      </c>
      <c r="AQ607" s="323">
        <v>0.1055099332534333</v>
      </c>
      <c r="AR607" s="323">
        <v>0.10138261096182402</v>
      </c>
      <c r="AS607" s="323">
        <v>6.968234094314274E-2</v>
      </c>
      <c r="AT607" s="323">
        <v>7.8201085763291739E-2</v>
      </c>
      <c r="AU607" s="190">
        <v>291391575473754.56</v>
      </c>
      <c r="AV607" s="190">
        <v>306671854569410.06</v>
      </c>
      <c r="AW607" s="190">
        <v>818538582619007.25</v>
      </c>
      <c r="AX607" s="190">
        <v>1042693191327623.3</v>
      </c>
      <c r="AY607" s="203">
        <v>2.5</v>
      </c>
      <c r="AZ607" s="239">
        <v>68.72</v>
      </c>
      <c r="BA607" s="203">
        <v>2006</v>
      </c>
      <c r="BB607" s="204">
        <v>41943</v>
      </c>
      <c r="BC607" s="203" t="s">
        <v>3168</v>
      </c>
    </row>
    <row r="608" spans="1:55" x14ac:dyDescent="0.2">
      <c r="A608" s="184" t="s">
        <v>2391</v>
      </c>
      <c r="B608" s="184" t="s">
        <v>2390</v>
      </c>
      <c r="C608" s="184" t="s">
        <v>2393</v>
      </c>
      <c r="D608" s="185" t="s">
        <v>1043</v>
      </c>
      <c r="E608" s="184" t="s">
        <v>2392</v>
      </c>
      <c r="F608" s="184" t="s">
        <v>2392</v>
      </c>
      <c r="G608" s="186">
        <f>IF(ALECA_Input!$F$13="ICAO (3000ft)",'Aircraft Calc'!C$211,'Aircraft Calc'!G$211)</f>
        <v>0.7</v>
      </c>
      <c r="H608" s="186">
        <f>IF(ALECA_Input!$F$13="ICAO (3000ft)",'Aircraft Calc'!D$211,'Aircraft Calc'!H$211)</f>
        <v>2.2000000000000002</v>
      </c>
      <c r="I608" s="186">
        <f>IF(ALECA_Input!$F$13="ICAO (3000ft)",'Aircraft Calc'!E$211,'Aircraft Calc'!I$211)</f>
        <v>4</v>
      </c>
      <c r="J608" s="189">
        <v>1</v>
      </c>
      <c r="K608" s="187">
        <f t="shared" si="145"/>
        <v>451.2</v>
      </c>
      <c r="L608" s="187">
        <f t="shared" si="146"/>
        <v>4.5556800000000006</v>
      </c>
      <c r="M608" s="187">
        <f t="shared" si="147"/>
        <v>0.34415999999999997</v>
      </c>
      <c r="N608" s="187">
        <f t="shared" si="148"/>
        <v>2.5747200000000001</v>
      </c>
      <c r="O608" s="187">
        <f t="shared" si="149"/>
        <v>0.17781628366677729</v>
      </c>
      <c r="P608" s="188">
        <f t="shared" si="150"/>
        <v>2.0178772206595039E+18</v>
      </c>
      <c r="Q608" s="187">
        <f t="shared" si="151"/>
        <v>12600</v>
      </c>
      <c r="R608" s="219">
        <f t="shared" si="152"/>
        <v>34.020000000000003</v>
      </c>
      <c r="S608" s="219">
        <f t="shared" si="153"/>
        <v>655.19999999999993</v>
      </c>
      <c r="T608" s="219">
        <f t="shared" si="154"/>
        <v>685.43999999999994</v>
      </c>
      <c r="U608" s="219">
        <f t="shared" si="155"/>
        <v>7.7777439020758878</v>
      </c>
      <c r="V608" s="188">
        <f t="shared" si="156"/>
        <v>1.5733976517835008E+17</v>
      </c>
      <c r="W608" s="323">
        <v>2.4</v>
      </c>
      <c r="X608" s="323">
        <v>1.6</v>
      </c>
      <c r="Y608" s="323">
        <v>0.57999999999999996</v>
      </c>
      <c r="Z608" s="323">
        <v>0.21</v>
      </c>
      <c r="AA608" s="323">
        <v>12.8</v>
      </c>
      <c r="AB608" s="323">
        <v>12.1</v>
      </c>
      <c r="AC608" s="323">
        <v>5.1000000000000005</v>
      </c>
      <c r="AD608" s="323">
        <v>2.7</v>
      </c>
      <c r="AE608" s="323">
        <v>0.5</v>
      </c>
      <c r="AF608" s="323">
        <v>0.6</v>
      </c>
      <c r="AG608" s="323">
        <v>1.2</v>
      </c>
      <c r="AH608" s="323">
        <v>52</v>
      </c>
      <c r="AI608" s="323">
        <v>3.9</v>
      </c>
      <c r="AJ608" s="323">
        <v>4.2</v>
      </c>
      <c r="AK608" s="323">
        <v>9.3000000000000007</v>
      </c>
      <c r="AL608" s="323">
        <v>54.4</v>
      </c>
      <c r="AM608" s="323">
        <v>0.34275502450323908</v>
      </c>
      <c r="AN608" s="323">
        <v>0.32835599762603102</v>
      </c>
      <c r="AO608" s="323">
        <v>0.19399654093558202</v>
      </c>
      <c r="AP608" s="323">
        <v>0.24748126206951496</v>
      </c>
      <c r="AQ608" s="323">
        <v>0.44921502450323914</v>
      </c>
      <c r="AR608" s="323">
        <v>0.42291599762603094</v>
      </c>
      <c r="AS608" s="323">
        <v>0.31045654093558206</v>
      </c>
      <c r="AT608" s="323">
        <v>0.61728126206951495</v>
      </c>
      <c r="AU608" s="190">
        <v>2161819716138268.8</v>
      </c>
      <c r="AV608" s="190">
        <v>2071002374389690</v>
      </c>
      <c r="AW608" s="190">
        <v>9788578245701608</v>
      </c>
      <c r="AX608" s="190">
        <v>1.2487282950662706E+16</v>
      </c>
      <c r="AY608" s="203">
        <v>21.8</v>
      </c>
      <c r="AZ608" s="239">
        <v>127.53</v>
      </c>
      <c r="BA608" s="203">
        <v>1989</v>
      </c>
      <c r="BB608" s="204">
        <v>35684</v>
      </c>
      <c r="BC608" s="203" t="s">
        <v>3102</v>
      </c>
    </row>
    <row r="609" spans="1:55" x14ac:dyDescent="0.2">
      <c r="A609" s="184" t="s">
        <v>2395</v>
      </c>
      <c r="B609" s="184" t="s">
        <v>2394</v>
      </c>
      <c r="C609" s="184" t="s">
        <v>2393</v>
      </c>
      <c r="D609" s="185" t="s">
        <v>1043</v>
      </c>
      <c r="E609" s="184" t="s">
        <v>2396</v>
      </c>
      <c r="F609" s="184" t="s">
        <v>2396</v>
      </c>
      <c r="G609" s="186">
        <f>IF(ALECA_Input!$F$13="ICAO (3000ft)",'Aircraft Calc'!C$211,'Aircraft Calc'!G$211)</f>
        <v>0.7</v>
      </c>
      <c r="H609" s="186">
        <f>IF(ALECA_Input!$F$13="ICAO (3000ft)",'Aircraft Calc'!D$211,'Aircraft Calc'!H$211)</f>
        <v>2.2000000000000002</v>
      </c>
      <c r="I609" s="186">
        <f>IF(ALECA_Input!$F$13="ICAO (3000ft)",'Aircraft Calc'!E$211,'Aircraft Calc'!I$211)</f>
        <v>4</v>
      </c>
      <c r="J609" s="189">
        <v>1</v>
      </c>
      <c r="K609" s="187">
        <f t="shared" si="145"/>
        <v>454.5</v>
      </c>
      <c r="L609" s="187">
        <f t="shared" si="146"/>
        <v>3.79026</v>
      </c>
      <c r="M609" s="187">
        <f t="shared" si="147"/>
        <v>8.6148000000000002E-2</v>
      </c>
      <c r="N609" s="187">
        <f t="shared" si="148"/>
        <v>1.4094149999999999</v>
      </c>
      <c r="O609" s="187">
        <f t="shared" si="149"/>
        <v>7.8518230905259348E-2</v>
      </c>
      <c r="P609" s="188">
        <f t="shared" si="150"/>
        <v>7.36231661164608E+17</v>
      </c>
      <c r="Q609" s="187">
        <f t="shared" si="151"/>
        <v>14100.000000000002</v>
      </c>
      <c r="R609" s="219">
        <f t="shared" si="152"/>
        <v>32.430000000000007</v>
      </c>
      <c r="S609" s="219">
        <f t="shared" si="153"/>
        <v>64.860000000000014</v>
      </c>
      <c r="T609" s="219">
        <f t="shared" si="154"/>
        <v>420.18000000000006</v>
      </c>
      <c r="U609" s="219">
        <f t="shared" si="155"/>
        <v>2.2805350249876315</v>
      </c>
      <c r="V609" s="188">
        <f t="shared" si="156"/>
        <v>6.0045058507758784E+16</v>
      </c>
      <c r="W609" s="323">
        <v>2.0499999999999998</v>
      </c>
      <c r="X609" s="323">
        <v>1.7</v>
      </c>
      <c r="Y609" s="323">
        <v>0.6</v>
      </c>
      <c r="Z609" s="323">
        <v>0.23500000000000001</v>
      </c>
      <c r="AA609" s="323">
        <v>13</v>
      </c>
      <c r="AB609" s="323">
        <v>9.4</v>
      </c>
      <c r="AC609" s="323">
        <v>3.9</v>
      </c>
      <c r="AD609" s="323">
        <v>2.3000000000000003</v>
      </c>
      <c r="AE609" s="323">
        <v>0.16</v>
      </c>
      <c r="AF609" s="323">
        <v>0.13</v>
      </c>
      <c r="AG609" s="323">
        <v>0.3</v>
      </c>
      <c r="AH609" s="323">
        <v>4.6000000000000005</v>
      </c>
      <c r="AI609" s="323">
        <v>1.55</v>
      </c>
      <c r="AJ609" s="323">
        <v>1.9000000000000001</v>
      </c>
      <c r="AK609" s="323">
        <v>5.9</v>
      </c>
      <c r="AL609" s="323">
        <v>29.8</v>
      </c>
      <c r="AM609" s="323">
        <v>0.12543154431481401</v>
      </c>
      <c r="AN609" s="323">
        <v>0.13238488512191252</v>
      </c>
      <c r="AO609" s="323">
        <v>6.6165102211088025E-2</v>
      </c>
      <c r="AP609" s="323">
        <v>8.4398072694158235E-2</v>
      </c>
      <c r="AQ609" s="323">
        <v>0.19279154431481399</v>
      </c>
      <c r="AR609" s="323">
        <v>0.19122488512191255</v>
      </c>
      <c r="AS609" s="323">
        <v>0.13200010221108804</v>
      </c>
      <c r="AT609" s="323">
        <v>0.16174007269415824</v>
      </c>
      <c r="AU609" s="190">
        <v>791120089102803</v>
      </c>
      <c r="AV609" s="190">
        <v>834976103384724.38</v>
      </c>
      <c r="AW609" s="190">
        <v>3338524888148086.5</v>
      </c>
      <c r="AX609" s="190">
        <v>4258514787784310.5</v>
      </c>
      <c r="AY609" s="203">
        <v>4.5999999999999996</v>
      </c>
      <c r="AZ609" s="239">
        <v>130.47</v>
      </c>
      <c r="BA609" s="203">
        <v>1990</v>
      </c>
      <c r="BB609" s="204">
        <v>35684</v>
      </c>
      <c r="BC609" s="203" t="s">
        <v>1109</v>
      </c>
    </row>
    <row r="610" spans="1:55" x14ac:dyDescent="0.2">
      <c r="A610" s="184" t="s">
        <v>2398</v>
      </c>
      <c r="B610" s="184" t="s">
        <v>2397</v>
      </c>
      <c r="C610" s="184" t="s">
        <v>2393</v>
      </c>
      <c r="D610" s="185" t="s">
        <v>1043</v>
      </c>
      <c r="E610" s="184" t="s">
        <v>2399</v>
      </c>
      <c r="F610" s="184" t="s">
        <v>2400</v>
      </c>
      <c r="G610" s="186">
        <f>IF(ALECA_Input!$F$13="ICAO (3000ft)",'Aircraft Calc'!C$211,'Aircraft Calc'!G$211)</f>
        <v>0.7</v>
      </c>
      <c r="H610" s="186">
        <f>IF(ALECA_Input!$F$13="ICAO (3000ft)",'Aircraft Calc'!D$211,'Aircraft Calc'!H$211)</f>
        <v>2.2000000000000002</v>
      </c>
      <c r="I610" s="186">
        <f>IF(ALECA_Input!$F$13="ICAO (3000ft)",'Aircraft Calc'!E$211,'Aircraft Calc'!I$211)</f>
        <v>4</v>
      </c>
      <c r="J610" s="189">
        <v>1</v>
      </c>
      <c r="K610" s="187">
        <f t="shared" si="145"/>
        <v>454.5</v>
      </c>
      <c r="L610" s="187">
        <f t="shared" si="146"/>
        <v>4.9695299999999998</v>
      </c>
      <c r="M610" s="187">
        <f t="shared" si="147"/>
        <v>0.37890000000000001</v>
      </c>
      <c r="N610" s="187">
        <f t="shared" si="148"/>
        <v>1.7718600000000002</v>
      </c>
      <c r="O610" s="187">
        <f t="shared" si="149"/>
        <v>0.1654255423970904</v>
      </c>
      <c r="P610" s="188">
        <f t="shared" si="150"/>
        <v>1.8846542284616092E+18</v>
      </c>
      <c r="Q610" s="187">
        <f t="shared" si="151"/>
        <v>14100.000000000002</v>
      </c>
      <c r="R610" s="219">
        <f t="shared" si="152"/>
        <v>43.710000000000008</v>
      </c>
      <c r="S610" s="219">
        <f t="shared" si="153"/>
        <v>215.73000000000002</v>
      </c>
      <c r="T610" s="219">
        <f t="shared" si="154"/>
        <v>535.80000000000007</v>
      </c>
      <c r="U610" s="219">
        <f t="shared" si="155"/>
        <v>5.2125431308331693</v>
      </c>
      <c r="V610" s="188">
        <f t="shared" si="156"/>
        <v>1.6101756755905635E+17</v>
      </c>
      <c r="W610" s="323">
        <v>2.0499999999999998</v>
      </c>
      <c r="X610" s="323">
        <v>1.7</v>
      </c>
      <c r="Y610" s="323">
        <v>0.6</v>
      </c>
      <c r="Z610" s="323">
        <v>0.23500000000000001</v>
      </c>
      <c r="AA610" s="323">
        <v>15.700000000000001</v>
      </c>
      <c r="AB610" s="323">
        <v>12.4</v>
      </c>
      <c r="AC610" s="323">
        <v>5.8</v>
      </c>
      <c r="AD610" s="323">
        <v>3.1</v>
      </c>
      <c r="AE610" s="323">
        <v>0.2</v>
      </c>
      <c r="AF610" s="323">
        <v>0.2</v>
      </c>
      <c r="AG610" s="323">
        <v>2.2000000000000002</v>
      </c>
      <c r="AH610" s="323">
        <v>15.3</v>
      </c>
      <c r="AI610" s="323">
        <v>1.8</v>
      </c>
      <c r="AJ610" s="323">
        <v>2.2000000000000002</v>
      </c>
      <c r="AK610" s="323">
        <v>7.8</v>
      </c>
      <c r="AL610" s="323">
        <v>38</v>
      </c>
      <c r="AM610" s="323">
        <v>0.31360874904524139</v>
      </c>
      <c r="AN610" s="323">
        <v>0.30040343676600145</v>
      </c>
      <c r="AO610" s="323">
        <v>0.17742915204169724</v>
      </c>
      <c r="AP610" s="323">
        <v>0.22632290998816806</v>
      </c>
      <c r="AQ610" s="323">
        <v>0.38556874904524141</v>
      </c>
      <c r="AR610" s="323">
        <v>0.36456343676600145</v>
      </c>
      <c r="AS610" s="323">
        <v>0.35013915204169721</v>
      </c>
      <c r="AT610" s="323">
        <v>0.36968390998816802</v>
      </c>
      <c r="AU610" s="190">
        <v>1977988733562837.8</v>
      </c>
      <c r="AV610" s="190">
        <v>1894700371898707.3</v>
      </c>
      <c r="AW610" s="190">
        <v>8952629410054021</v>
      </c>
      <c r="AX610" s="190">
        <v>1.1419685642486266E+16</v>
      </c>
      <c r="AY610" s="203">
        <v>22</v>
      </c>
      <c r="AZ610" s="239">
        <v>130.47</v>
      </c>
      <c r="BA610" s="203">
        <v>1987</v>
      </c>
      <c r="BB610" s="204">
        <v>35684</v>
      </c>
      <c r="BC610" s="203" t="s">
        <v>3169</v>
      </c>
    </row>
    <row r="611" spans="1:55" x14ac:dyDescent="0.2">
      <c r="A611" s="184" t="s">
        <v>2402</v>
      </c>
      <c r="B611" s="184" t="s">
        <v>2401</v>
      </c>
      <c r="C611" s="184" t="s">
        <v>2393</v>
      </c>
      <c r="D611" s="185" t="s">
        <v>1043</v>
      </c>
      <c r="E611" s="184" t="s">
        <v>2403</v>
      </c>
      <c r="F611" s="184" t="s">
        <v>2404</v>
      </c>
      <c r="G611" s="186">
        <f>IF(ALECA_Input!$F$13="ICAO (3000ft)",'Aircraft Calc'!C$211,'Aircraft Calc'!G$211)</f>
        <v>0.7</v>
      </c>
      <c r="H611" s="186">
        <f>IF(ALECA_Input!$F$13="ICAO (3000ft)",'Aircraft Calc'!D$211,'Aircraft Calc'!H$211)</f>
        <v>2.2000000000000002</v>
      </c>
      <c r="I611" s="186">
        <f>IF(ALECA_Input!$F$13="ICAO (3000ft)",'Aircraft Calc'!E$211,'Aircraft Calc'!I$211)</f>
        <v>4</v>
      </c>
      <c r="J611" s="189">
        <v>1</v>
      </c>
      <c r="K611" s="187">
        <f t="shared" si="145"/>
        <v>367.14</v>
      </c>
      <c r="L611" s="187">
        <f t="shared" si="146"/>
        <v>3.7656059999999996</v>
      </c>
      <c r="M611" s="187">
        <f t="shared" si="147"/>
        <v>0.8140170000000001</v>
      </c>
      <c r="N611" s="187">
        <f t="shared" si="148"/>
        <v>4.2540899999999997</v>
      </c>
      <c r="O611" s="187">
        <f t="shared" si="149"/>
        <v>0.1749298826733621</v>
      </c>
      <c r="P611" s="188">
        <f t="shared" si="150"/>
        <v>1.8691092697120771E+18</v>
      </c>
      <c r="Q611" s="187">
        <f t="shared" si="151"/>
        <v>14399.999999999998</v>
      </c>
      <c r="R611" s="219">
        <f t="shared" si="152"/>
        <v>38.879999999999995</v>
      </c>
      <c r="S611" s="219">
        <f t="shared" si="153"/>
        <v>1494.7199999999998</v>
      </c>
      <c r="T611" s="219">
        <f t="shared" si="154"/>
        <v>1670.3999999999999</v>
      </c>
      <c r="U611" s="219">
        <f t="shared" si="155"/>
        <v>13.486688308976401</v>
      </c>
      <c r="V611" s="188">
        <f t="shared" si="156"/>
        <v>1.7959040791848314E+17</v>
      </c>
      <c r="W611" s="323">
        <v>1.75</v>
      </c>
      <c r="X611" s="323">
        <v>1.17</v>
      </c>
      <c r="Y611" s="323">
        <v>0.57999999999999996</v>
      </c>
      <c r="Z611" s="323">
        <v>0.24</v>
      </c>
      <c r="AA611" s="323">
        <v>13.9</v>
      </c>
      <c r="AB611" s="323">
        <v>12.9</v>
      </c>
      <c r="AC611" s="323">
        <v>5.4</v>
      </c>
      <c r="AD611" s="323">
        <v>2.7</v>
      </c>
      <c r="AE611" s="323">
        <v>0.45</v>
      </c>
      <c r="AF611" s="323">
        <v>0.55000000000000004</v>
      </c>
      <c r="AG611" s="323">
        <v>5</v>
      </c>
      <c r="AH611" s="323">
        <v>103.8</v>
      </c>
      <c r="AI611" s="323">
        <v>5.5</v>
      </c>
      <c r="AJ611" s="323">
        <v>6</v>
      </c>
      <c r="AK611" s="323">
        <v>21</v>
      </c>
      <c r="AL611" s="323">
        <v>116</v>
      </c>
      <c r="AM611" s="323">
        <v>0.36648548079207111</v>
      </c>
      <c r="AN611" s="323">
        <v>0.34730192506489749</v>
      </c>
      <c r="AO611" s="323">
        <v>0.19376076959857857</v>
      </c>
      <c r="AP611" s="323">
        <v>0.24716957701225023</v>
      </c>
      <c r="AQ611" s="323">
        <v>0.46719548079207107</v>
      </c>
      <c r="AR611" s="323">
        <v>0.43806192506489749</v>
      </c>
      <c r="AS611" s="323">
        <v>0.52397076959857847</v>
      </c>
      <c r="AT611" s="323">
        <v>0.93657557701225014</v>
      </c>
      <c r="AU611" s="190">
        <v>2311492119489630</v>
      </c>
      <c r="AV611" s="190">
        <v>2190497864024677.3</v>
      </c>
      <c r="AW611" s="190">
        <v>9776681816161050</v>
      </c>
      <c r="AX611" s="190">
        <v>1.2471556105450218E+16</v>
      </c>
      <c r="AY611" s="203">
        <v>19.100000000000001</v>
      </c>
      <c r="AZ611" s="239">
        <v>103</v>
      </c>
      <c r="BA611" s="203">
        <v>1989</v>
      </c>
      <c r="BB611" s="204">
        <v>37449</v>
      </c>
      <c r="BC611" s="203" t="s">
        <v>3102</v>
      </c>
    </row>
    <row r="612" spans="1:55" x14ac:dyDescent="0.2">
      <c r="A612" s="184" t="s">
        <v>2406</v>
      </c>
      <c r="B612" s="184" t="s">
        <v>2405</v>
      </c>
      <c r="C612" s="184" t="s">
        <v>2393</v>
      </c>
      <c r="D612" s="185" t="s">
        <v>1043</v>
      </c>
      <c r="E612" s="184" t="s">
        <v>2403</v>
      </c>
      <c r="F612" s="184" t="s">
        <v>2403</v>
      </c>
      <c r="G612" s="186">
        <f>IF(ALECA_Input!$F$13="ICAO (3000ft)",'Aircraft Calc'!C$211,'Aircraft Calc'!G$211)</f>
        <v>0.7</v>
      </c>
      <c r="H612" s="186">
        <f>IF(ALECA_Input!$F$13="ICAO (3000ft)",'Aircraft Calc'!D$211,'Aircraft Calc'!H$211)</f>
        <v>2.2000000000000002</v>
      </c>
      <c r="I612" s="186">
        <f>IF(ALECA_Input!$F$13="ICAO (3000ft)",'Aircraft Calc'!E$211,'Aircraft Calc'!I$211)</f>
        <v>4</v>
      </c>
      <c r="J612" s="189">
        <v>1</v>
      </c>
      <c r="K612" s="187">
        <f t="shared" ref="K612:K676" si="157">(G612*W612*60+H612*X612*60+I612*Y612*60)</f>
        <v>381.06</v>
      </c>
      <c r="L612" s="187">
        <f t="shared" ref="L612:L676" si="158">(G612*W612*60*AA612+H612*X612*60*AB612+I612*Y612*60*AC612)/1000</f>
        <v>3.9991740000000009</v>
      </c>
      <c r="M612" s="187">
        <f t="shared" ref="M612:M676" si="159">(G612*W612*60*AE612+H612*X612*60*AF612+I612*Y612*60*AG612)/1000</f>
        <v>0.84131999999999996</v>
      </c>
      <c r="N612" s="187">
        <f t="shared" ref="N612:N676" si="160">(G612*W612*60*AI612+H612*X612*60*AJ612+I612*Y612*60*AK612)/1000</f>
        <v>3.13686</v>
      </c>
      <c r="O612" s="187">
        <f t="shared" ref="O612:O676" si="161">(G612*W612*60*AQ612+H612*X612*60*AR612+I612*Y612*60*AS612)/1000</f>
        <v>0.19503724798962302</v>
      </c>
      <c r="P612" s="188">
        <f t="shared" ref="P612:P676" si="162">(G612*W612*60*AU612+H612*X612*60*AV612+I612*Y612*60*AW612)</f>
        <v>1.8449804755239188E+18</v>
      </c>
      <c r="Q612" s="187">
        <f t="shared" ref="Q612:Q676" si="163">J612*Z612*60*1000</f>
        <v>13200</v>
      </c>
      <c r="R612" s="219">
        <f t="shared" ref="R612:R676" si="164">J612*Z612*60*AD612</f>
        <v>35.64</v>
      </c>
      <c r="S612" s="219">
        <f t="shared" ref="S612:S676" si="165">J612*Z612*60*AH612</f>
        <v>422.4</v>
      </c>
      <c r="T612" s="219">
        <f t="shared" ref="T612:T676" si="166">J612*Z612*60*AL612</f>
        <v>844.8</v>
      </c>
      <c r="U612" s="219">
        <f t="shared" ref="U612:U676" si="167">J612*Z612*60*AT612</f>
        <v>6.5151184165617027</v>
      </c>
      <c r="V612" s="188">
        <f t="shared" ref="V612:V676" si="168">J612*Z612*60*AX612</f>
        <v>1.6462454059194288E+17</v>
      </c>
      <c r="W612" s="323">
        <v>1.75</v>
      </c>
      <c r="X612" s="323">
        <v>1.33</v>
      </c>
      <c r="Y612" s="323">
        <v>0.55000000000000004</v>
      </c>
      <c r="Z612" s="323">
        <v>0.22</v>
      </c>
      <c r="AA612" s="323">
        <v>13.9</v>
      </c>
      <c r="AB612" s="323">
        <v>12.9</v>
      </c>
      <c r="AC612" s="323">
        <v>5.4</v>
      </c>
      <c r="AD612" s="323">
        <v>2.7</v>
      </c>
      <c r="AE612" s="323">
        <v>2</v>
      </c>
      <c r="AF612" s="323">
        <v>2</v>
      </c>
      <c r="AG612" s="323">
        <v>2.6</v>
      </c>
      <c r="AH612" s="323">
        <v>32</v>
      </c>
      <c r="AI612" s="323">
        <v>5</v>
      </c>
      <c r="AJ612" s="323">
        <v>6</v>
      </c>
      <c r="AK612" s="323">
        <v>13</v>
      </c>
      <c r="AL612" s="323">
        <v>64</v>
      </c>
      <c r="AM612" s="323">
        <v>0.36648548079207111</v>
      </c>
      <c r="AN612" s="323">
        <v>0.34730192506489749</v>
      </c>
      <c r="AO612" s="323">
        <v>0.19376076959857857</v>
      </c>
      <c r="AP612" s="323">
        <v>0.24716957701225023</v>
      </c>
      <c r="AQ612" s="323">
        <v>0.64544548079207109</v>
      </c>
      <c r="AR612" s="323">
        <v>0.54826192506489757</v>
      </c>
      <c r="AS612" s="323">
        <v>0.38897076959857851</v>
      </c>
      <c r="AT612" s="323">
        <v>0.49356957701225024</v>
      </c>
      <c r="AU612" s="190">
        <v>2311492119489630</v>
      </c>
      <c r="AV612" s="190">
        <v>2190497864024677.3</v>
      </c>
      <c r="AW612" s="190">
        <v>9776681816161050</v>
      </c>
      <c r="AX612" s="190">
        <v>1.2471556105450218E+16</v>
      </c>
      <c r="AY612" s="203">
        <v>19.7</v>
      </c>
      <c r="AZ612" s="239">
        <v>103</v>
      </c>
      <c r="BA612" s="203">
        <v>1990</v>
      </c>
      <c r="BB612" s="204">
        <v>37448</v>
      </c>
      <c r="BC612" s="203" t="s">
        <v>3170</v>
      </c>
    </row>
    <row r="613" spans="1:55" x14ac:dyDescent="0.2">
      <c r="A613" s="184" t="s">
        <v>3171</v>
      </c>
      <c r="B613" s="184" t="s">
        <v>3172</v>
      </c>
      <c r="C613" s="184" t="s">
        <v>934</v>
      </c>
      <c r="D613" s="185" t="s">
        <v>1043</v>
      </c>
      <c r="E613" s="184" t="s">
        <v>3173</v>
      </c>
      <c r="F613" s="184" t="s">
        <v>3173</v>
      </c>
      <c r="G613" s="186">
        <f>IF(ALECA_Input!$F$13="ICAO (3000ft)",'Aircraft Calc'!C$211,'Aircraft Calc'!G$211)</f>
        <v>0.7</v>
      </c>
      <c r="H613" s="186">
        <f>IF(ALECA_Input!$F$13="ICAO (3000ft)",'Aircraft Calc'!D$211,'Aircraft Calc'!H$211)</f>
        <v>2.2000000000000002</v>
      </c>
      <c r="I613" s="186">
        <f>IF(ALECA_Input!$F$13="ICAO (3000ft)",'Aircraft Calc'!E$211,'Aircraft Calc'!I$211)</f>
        <v>4</v>
      </c>
      <c r="J613" s="189">
        <v>1</v>
      </c>
      <c r="K613" s="187">
        <f t="shared" si="157"/>
        <v>492.60599999999999</v>
      </c>
      <c r="L613" s="187">
        <f t="shared" si="158"/>
        <v>15.311631000000002</v>
      </c>
      <c r="M613" s="187">
        <f t="shared" si="159"/>
        <v>0</v>
      </c>
      <c r="N613" s="187">
        <f t="shared" si="160"/>
        <v>0.26363586000000006</v>
      </c>
      <c r="O613" s="187">
        <f t="shared" si="161"/>
        <v>6.0951772902289141E-2</v>
      </c>
      <c r="P613" s="188">
        <f t="shared" si="162"/>
        <v>9.6836399603283072E+17</v>
      </c>
      <c r="Q613" s="187">
        <f t="shared" si="163"/>
        <v>14340</v>
      </c>
      <c r="R613" s="219">
        <f t="shared" si="164"/>
        <v>84.606000000000009</v>
      </c>
      <c r="S613" s="219">
        <f t="shared" si="165"/>
        <v>0</v>
      </c>
      <c r="T613" s="219">
        <f t="shared" si="166"/>
        <v>99.376199999999997</v>
      </c>
      <c r="U613" s="219">
        <f t="shared" si="167"/>
        <v>0.96651831092173413</v>
      </c>
      <c r="V613" s="188">
        <f t="shared" si="168"/>
        <v>1.4985201868791286E+16</v>
      </c>
      <c r="W613" s="323">
        <v>2.2789999999999999</v>
      </c>
      <c r="X613" s="323">
        <v>1.8740000000000001</v>
      </c>
      <c r="Y613" s="323">
        <v>0.623</v>
      </c>
      <c r="Z613" s="323">
        <v>0.23899999999999999</v>
      </c>
      <c r="AA613" s="323">
        <v>46.1</v>
      </c>
      <c r="AB613" s="323">
        <v>35.9</v>
      </c>
      <c r="AC613" s="323">
        <v>13.5</v>
      </c>
      <c r="AD613" s="323">
        <v>5.9</v>
      </c>
      <c r="AE613" s="323">
        <v>0</v>
      </c>
      <c r="AF613" s="323">
        <v>0</v>
      </c>
      <c r="AG613" s="323">
        <v>0</v>
      </c>
      <c r="AH613" s="323">
        <v>0</v>
      </c>
      <c r="AI613" s="323">
        <v>0.43</v>
      </c>
      <c r="AJ613" s="323">
        <v>0.44</v>
      </c>
      <c r="AK613" s="323">
        <v>0.76</v>
      </c>
      <c r="AL613" s="323">
        <v>6.93</v>
      </c>
      <c r="AM613" s="323">
        <v>4.6902859065581892E-2</v>
      </c>
      <c r="AN613" s="323">
        <v>7.4667563597014167E-2</v>
      </c>
      <c r="AO613" s="323">
        <v>9.2790057560082684E-2</v>
      </c>
      <c r="AP613" s="323">
        <v>1.8440161152143256E-2</v>
      </c>
      <c r="AQ613" s="323">
        <v>9.5862859065581896E-2</v>
      </c>
      <c r="AR613" s="323">
        <v>0.12362756359701417</v>
      </c>
      <c r="AS613" s="323">
        <v>0.14175005756008269</v>
      </c>
      <c r="AT613" s="323">
        <v>6.7400161152143243E-2</v>
      </c>
      <c r="AU613" s="190">
        <v>308522234458919.63</v>
      </c>
      <c r="AV613" s="190">
        <v>616907303744960.25</v>
      </c>
      <c r="AW613" s="190">
        <v>5258358339232935</v>
      </c>
      <c r="AX613" s="190">
        <v>1044993156819476</v>
      </c>
      <c r="AY613" s="203">
        <v>17.5</v>
      </c>
      <c r="AZ613" s="239">
        <v>310.89999999999998</v>
      </c>
      <c r="BA613" s="203">
        <v>2017</v>
      </c>
      <c r="BB613" s="204">
        <v>43251</v>
      </c>
      <c r="BC613" s="203" t="s">
        <v>716</v>
      </c>
    </row>
    <row r="614" spans="1:55" x14ac:dyDescent="0.2">
      <c r="A614" s="184" t="s">
        <v>3174</v>
      </c>
      <c r="B614" s="184" t="s">
        <v>3175</v>
      </c>
      <c r="C614" s="184" t="s">
        <v>934</v>
      </c>
      <c r="D614" s="185" t="s">
        <v>1043</v>
      </c>
      <c r="E614" s="184" t="s">
        <v>3176</v>
      </c>
      <c r="F614" s="184" t="s">
        <v>3176</v>
      </c>
      <c r="G614" s="186">
        <f>IF(ALECA_Input!$F$13="ICAO (3000ft)",'Aircraft Calc'!C$211,'Aircraft Calc'!G$211)</f>
        <v>0.7</v>
      </c>
      <c r="H614" s="186">
        <f>IF(ALECA_Input!$F$13="ICAO (3000ft)",'Aircraft Calc'!D$211,'Aircraft Calc'!H$211)</f>
        <v>2.2000000000000002</v>
      </c>
      <c r="I614" s="186">
        <f>IF(ALECA_Input!$F$13="ICAO (3000ft)",'Aircraft Calc'!E$211,'Aircraft Calc'!I$211)</f>
        <v>4</v>
      </c>
      <c r="J614" s="189">
        <v>1</v>
      </c>
      <c r="K614" s="187">
        <f t="shared" si="157"/>
        <v>535.02599999999995</v>
      </c>
      <c r="L614" s="187">
        <f t="shared" si="158"/>
        <v>18.547303499999998</v>
      </c>
      <c r="M614" s="187">
        <f t="shared" si="159"/>
        <v>0</v>
      </c>
      <c r="N614" s="187">
        <f t="shared" si="160"/>
        <v>0.26858273999999999</v>
      </c>
      <c r="O614" s="187">
        <f t="shared" si="161"/>
        <v>6.4458970452108522E-2</v>
      </c>
      <c r="P614" s="188">
        <f t="shared" si="162"/>
        <v>1.0752286149316142E+18</v>
      </c>
      <c r="Q614" s="187">
        <f t="shared" si="163"/>
        <v>14940</v>
      </c>
      <c r="R614" s="219">
        <f t="shared" si="164"/>
        <v>92.0304</v>
      </c>
      <c r="S614" s="219">
        <f t="shared" si="165"/>
        <v>0</v>
      </c>
      <c r="T614" s="219">
        <f t="shared" si="166"/>
        <v>93.0762</v>
      </c>
      <c r="U614" s="219">
        <f t="shared" si="167"/>
        <v>0.99051938670369089</v>
      </c>
      <c r="V614" s="188">
        <f t="shared" si="168"/>
        <v>1.4680608054239636E+16</v>
      </c>
      <c r="W614" s="323">
        <v>2.4969999999999999</v>
      </c>
      <c r="X614" s="323">
        <v>2.0459999999999998</v>
      </c>
      <c r="Y614" s="323">
        <v>0.66700000000000004</v>
      </c>
      <c r="Z614" s="323">
        <v>0.249</v>
      </c>
      <c r="AA614" s="323">
        <v>52.07</v>
      </c>
      <c r="AB614" s="323">
        <v>40.11</v>
      </c>
      <c r="AC614" s="323">
        <v>14.08</v>
      </c>
      <c r="AD614" s="323">
        <v>6.16</v>
      </c>
      <c r="AE614" s="323">
        <v>0</v>
      </c>
      <c r="AF614" s="323">
        <v>0</v>
      </c>
      <c r="AG614" s="323">
        <v>0</v>
      </c>
      <c r="AH614" s="323">
        <v>0</v>
      </c>
      <c r="AI614" s="323">
        <v>0.41</v>
      </c>
      <c r="AJ614" s="323">
        <v>0.45</v>
      </c>
      <c r="AK614" s="323">
        <v>0.65</v>
      </c>
      <c r="AL614" s="323">
        <v>6.23</v>
      </c>
      <c r="AM614" s="323">
        <v>4.1939120325668031E-2</v>
      </c>
      <c r="AN614" s="323">
        <v>6.6765480751206363E-2</v>
      </c>
      <c r="AO614" s="323">
        <v>9.8914838016208179E-2</v>
      </c>
      <c r="AP614" s="323">
        <v>1.7339825080568343E-2</v>
      </c>
      <c r="AQ614" s="323">
        <v>9.0899120325668034E-2</v>
      </c>
      <c r="AR614" s="323">
        <v>0.11572548075120637</v>
      </c>
      <c r="AS614" s="323">
        <v>0.14787483801620818</v>
      </c>
      <c r="AT614" s="323">
        <v>6.6299825080568336E-2</v>
      </c>
      <c r="AU614" s="190">
        <v>275871266099672.81</v>
      </c>
      <c r="AV614" s="190">
        <v>551619883243515.94</v>
      </c>
      <c r="AW614" s="190">
        <v>5605446068611533</v>
      </c>
      <c r="AX614" s="190">
        <v>982637754634513.88</v>
      </c>
      <c r="AY614" s="203">
        <v>20.9</v>
      </c>
      <c r="AZ614" s="239">
        <v>334.7</v>
      </c>
      <c r="BA614" s="203">
        <v>2</v>
      </c>
      <c r="BB614" s="204">
        <v>43251</v>
      </c>
      <c r="BC614" s="203" t="s">
        <v>716</v>
      </c>
    </row>
    <row r="615" spans="1:55" x14ac:dyDescent="0.2">
      <c r="A615" s="184" t="s">
        <v>3177</v>
      </c>
      <c r="B615" s="184" t="s">
        <v>3178</v>
      </c>
      <c r="C615" s="184" t="s">
        <v>934</v>
      </c>
      <c r="D615" s="185" t="s">
        <v>1043</v>
      </c>
      <c r="E615" s="184" t="s">
        <v>3179</v>
      </c>
      <c r="F615" s="184" t="s">
        <v>3179</v>
      </c>
      <c r="G615" s="186">
        <f>IF(ALECA_Input!$F$13="ICAO (3000ft)",'Aircraft Calc'!C$211,'Aircraft Calc'!G$211)</f>
        <v>0.7</v>
      </c>
      <c r="H615" s="186">
        <f>IF(ALECA_Input!$F$13="ICAO (3000ft)",'Aircraft Calc'!D$211,'Aircraft Calc'!H$211)</f>
        <v>2.2000000000000002</v>
      </c>
      <c r="I615" s="186">
        <f>IF(ALECA_Input!$F$13="ICAO (3000ft)",'Aircraft Calc'!E$211,'Aircraft Calc'!I$211)</f>
        <v>4</v>
      </c>
      <c r="J615" s="189">
        <v>1</v>
      </c>
      <c r="K615" s="187">
        <f t="shared" si="157"/>
        <v>535.02599999999995</v>
      </c>
      <c r="L615" s="187">
        <f t="shared" si="158"/>
        <v>18.547303499999998</v>
      </c>
      <c r="M615" s="187">
        <f t="shared" si="159"/>
        <v>0</v>
      </c>
      <c r="N615" s="187">
        <f t="shared" si="160"/>
        <v>0.26858273999999999</v>
      </c>
      <c r="O615" s="187">
        <f t="shared" si="161"/>
        <v>6.4458970452108522E-2</v>
      </c>
      <c r="P615" s="188">
        <f t="shared" si="162"/>
        <v>1.0752286149316142E+18</v>
      </c>
      <c r="Q615" s="187">
        <f t="shared" si="163"/>
        <v>14940</v>
      </c>
      <c r="R615" s="219">
        <f t="shared" si="164"/>
        <v>92.0304</v>
      </c>
      <c r="S615" s="219">
        <f t="shared" si="165"/>
        <v>0</v>
      </c>
      <c r="T615" s="219">
        <f t="shared" si="166"/>
        <v>93.0762</v>
      </c>
      <c r="U615" s="219">
        <f t="shared" si="167"/>
        <v>0.99051938670369089</v>
      </c>
      <c r="V615" s="188">
        <f t="shared" si="168"/>
        <v>1.4680608054239636E+16</v>
      </c>
      <c r="W615" s="323">
        <v>2.4969999999999999</v>
      </c>
      <c r="X615" s="323">
        <v>2.0459999999999998</v>
      </c>
      <c r="Y615" s="323">
        <v>0.66700000000000004</v>
      </c>
      <c r="Z615" s="323">
        <v>0.249</v>
      </c>
      <c r="AA615" s="323">
        <v>52.07</v>
      </c>
      <c r="AB615" s="323">
        <v>40.11</v>
      </c>
      <c r="AC615" s="323">
        <v>14.08</v>
      </c>
      <c r="AD615" s="323">
        <v>6.16</v>
      </c>
      <c r="AE615" s="323">
        <v>0</v>
      </c>
      <c r="AF615" s="323">
        <v>0</v>
      </c>
      <c r="AG615" s="323">
        <v>0</v>
      </c>
      <c r="AH615" s="323">
        <v>0</v>
      </c>
      <c r="AI615" s="323">
        <v>0.41</v>
      </c>
      <c r="AJ615" s="323">
        <v>0.45</v>
      </c>
      <c r="AK615" s="323">
        <v>0.65</v>
      </c>
      <c r="AL615" s="323">
        <v>6.23</v>
      </c>
      <c r="AM615" s="323">
        <v>4.1939120325668031E-2</v>
      </c>
      <c r="AN615" s="323">
        <v>6.6765480751206363E-2</v>
      </c>
      <c r="AO615" s="323">
        <v>9.8914838016208179E-2</v>
      </c>
      <c r="AP615" s="323">
        <v>1.7339825080568343E-2</v>
      </c>
      <c r="AQ615" s="323">
        <v>9.0899120325668034E-2</v>
      </c>
      <c r="AR615" s="323">
        <v>0.11572548075120637</v>
      </c>
      <c r="AS615" s="323">
        <v>0.14787483801620818</v>
      </c>
      <c r="AT615" s="323">
        <v>6.6299825080568336E-2</v>
      </c>
      <c r="AU615" s="190">
        <v>275871266099672.81</v>
      </c>
      <c r="AV615" s="190">
        <v>551619883243515.94</v>
      </c>
      <c r="AW615" s="190">
        <v>5605446068611533</v>
      </c>
      <c r="AX615" s="190">
        <v>982637754634513.88</v>
      </c>
      <c r="AY615" s="203">
        <v>20.9</v>
      </c>
      <c r="AZ615" s="239">
        <v>334.7</v>
      </c>
      <c r="BA615" s="203">
        <v>2017</v>
      </c>
      <c r="BB615" s="204">
        <v>43251</v>
      </c>
      <c r="BC615" s="203" t="s">
        <v>716</v>
      </c>
    </row>
    <row r="616" spans="1:55" x14ac:dyDescent="0.2">
      <c r="A616" s="184" t="s">
        <v>3180</v>
      </c>
      <c r="B616" s="184" t="s">
        <v>3181</v>
      </c>
      <c r="C616" s="184" t="s">
        <v>934</v>
      </c>
      <c r="D616" s="185" t="s">
        <v>1043</v>
      </c>
      <c r="E616" s="184" t="s">
        <v>3182</v>
      </c>
      <c r="F616" s="184" t="s">
        <v>3182</v>
      </c>
      <c r="G616" s="186">
        <f>IF(ALECA_Input!$F$13="ICAO (3000ft)",'Aircraft Calc'!C$211,'Aircraft Calc'!G$211)</f>
        <v>0.7</v>
      </c>
      <c r="H616" s="186">
        <f>IF(ALECA_Input!$F$13="ICAO (3000ft)",'Aircraft Calc'!D$211,'Aircraft Calc'!H$211)</f>
        <v>2.2000000000000002</v>
      </c>
      <c r="I616" s="186">
        <f>IF(ALECA_Input!$F$13="ICAO (3000ft)",'Aircraft Calc'!E$211,'Aircraft Calc'!I$211)</f>
        <v>4</v>
      </c>
      <c r="J616" s="189">
        <v>1</v>
      </c>
      <c r="K616" s="187">
        <f t="shared" si="157"/>
        <v>515.38200000000006</v>
      </c>
      <c r="L616" s="187">
        <f t="shared" si="158"/>
        <v>16.996261980000003</v>
      </c>
      <c r="M616" s="187">
        <f t="shared" si="159"/>
        <v>0</v>
      </c>
      <c r="N616" s="187">
        <f t="shared" si="160"/>
        <v>0.26772420000000002</v>
      </c>
      <c r="O616" s="187">
        <f t="shared" si="161"/>
        <v>6.285841637709659E-2</v>
      </c>
      <c r="P616" s="188">
        <f t="shared" si="162"/>
        <v>1.0235343767639434E+18</v>
      </c>
      <c r="Q616" s="187">
        <f t="shared" si="163"/>
        <v>14700</v>
      </c>
      <c r="R616" s="219">
        <f t="shared" si="164"/>
        <v>88.787999999999997</v>
      </c>
      <c r="S616" s="219">
        <f t="shared" si="165"/>
        <v>0</v>
      </c>
      <c r="T616" s="219">
        <f t="shared" si="166"/>
        <v>96.137999999999991</v>
      </c>
      <c r="U616" s="219">
        <f t="shared" si="167"/>
        <v>0.97460742868435446</v>
      </c>
      <c r="V616" s="188">
        <f t="shared" si="168"/>
        <v>1.4444774993127354E+16</v>
      </c>
      <c r="W616" s="323">
        <v>2.395</v>
      </c>
      <c r="X616" s="323">
        <v>1.966</v>
      </c>
      <c r="Y616" s="323">
        <v>0.64700000000000002</v>
      </c>
      <c r="Z616" s="323">
        <v>0.245</v>
      </c>
      <c r="AA616" s="323">
        <v>49.25</v>
      </c>
      <c r="AB616" s="323">
        <v>38.14</v>
      </c>
      <c r="AC616" s="323">
        <v>13.81</v>
      </c>
      <c r="AD616" s="323">
        <v>6.04</v>
      </c>
      <c r="AE616" s="323">
        <v>0</v>
      </c>
      <c r="AF616" s="323">
        <v>0</v>
      </c>
      <c r="AG616" s="323">
        <v>0</v>
      </c>
      <c r="AH616" s="323">
        <v>0</v>
      </c>
      <c r="AI616" s="323">
        <v>0.42</v>
      </c>
      <c r="AJ616" s="323">
        <v>0.45</v>
      </c>
      <c r="AK616" s="323">
        <v>0.7</v>
      </c>
      <c r="AL616" s="323">
        <v>6.54</v>
      </c>
      <c r="AM616" s="323">
        <v>4.3998646509583232E-2</v>
      </c>
      <c r="AN616" s="323">
        <v>7.0606060505284868E-2</v>
      </c>
      <c r="AO616" s="323">
        <v>9.5803515139426337E-2</v>
      </c>
      <c r="AP616" s="323">
        <v>1.7339825080568343E-2</v>
      </c>
      <c r="AQ616" s="323">
        <v>9.2958646509583243E-2</v>
      </c>
      <c r="AR616" s="323">
        <v>0.11956606050528487</v>
      </c>
      <c r="AS616" s="323">
        <v>0.14476351513942634</v>
      </c>
      <c r="AT616" s="323">
        <v>6.6299825080568336E-2</v>
      </c>
      <c r="AU616" s="190">
        <v>289418619775910.44</v>
      </c>
      <c r="AV616" s="190">
        <v>583350953426724.63</v>
      </c>
      <c r="AW616" s="190">
        <v>5429129219313552</v>
      </c>
      <c r="AX616" s="190">
        <v>982637754634513.88</v>
      </c>
      <c r="AY616" s="203">
        <v>19.3</v>
      </c>
      <c r="AZ616" s="239">
        <v>323.7</v>
      </c>
      <c r="BA616" s="203">
        <v>2017</v>
      </c>
      <c r="BB616" s="204">
        <v>43251</v>
      </c>
      <c r="BC616" s="203" t="s">
        <v>716</v>
      </c>
    </row>
    <row r="617" spans="1:55" x14ac:dyDescent="0.2">
      <c r="A617" s="184" t="s">
        <v>3183</v>
      </c>
      <c r="B617" s="184" t="s">
        <v>3184</v>
      </c>
      <c r="C617" s="184" t="s">
        <v>934</v>
      </c>
      <c r="D617" s="185" t="s">
        <v>1043</v>
      </c>
      <c r="E617" s="184" t="s">
        <v>3185</v>
      </c>
      <c r="F617" s="184" t="s">
        <v>3185</v>
      </c>
      <c r="G617" s="186">
        <f>IF(ALECA_Input!$F$13="ICAO (3000ft)",'Aircraft Calc'!C$211,'Aircraft Calc'!G$211)</f>
        <v>0.7</v>
      </c>
      <c r="H617" s="186">
        <f>IF(ALECA_Input!$F$13="ICAO (3000ft)",'Aircraft Calc'!D$211,'Aircraft Calc'!H$211)</f>
        <v>2.2000000000000002</v>
      </c>
      <c r="I617" s="186">
        <f>IF(ALECA_Input!$F$13="ICAO (3000ft)",'Aircraft Calc'!E$211,'Aircraft Calc'!I$211)</f>
        <v>4</v>
      </c>
      <c r="J617" s="189">
        <v>1</v>
      </c>
      <c r="K617" s="187">
        <f t="shared" si="157"/>
        <v>451.00799999999998</v>
      </c>
      <c r="L617" s="187">
        <f t="shared" si="158"/>
        <v>12.545727599999998</v>
      </c>
      <c r="M617" s="187">
        <f t="shared" si="159"/>
        <v>0</v>
      </c>
      <c r="N617" s="187">
        <f t="shared" si="160"/>
        <v>0.25959215999999996</v>
      </c>
      <c r="O617" s="187">
        <f t="shared" si="161"/>
        <v>5.710652641974235E-2</v>
      </c>
      <c r="P617" s="188">
        <f t="shared" si="162"/>
        <v>8.6238237076256064E+17</v>
      </c>
      <c r="Q617" s="187">
        <f t="shared" si="163"/>
        <v>13740</v>
      </c>
      <c r="R617" s="219">
        <f t="shared" si="164"/>
        <v>77.493600000000001</v>
      </c>
      <c r="S617" s="219">
        <f t="shared" si="165"/>
        <v>0</v>
      </c>
      <c r="T617" s="219">
        <f t="shared" si="166"/>
        <v>106.8972</v>
      </c>
      <c r="U617" s="219">
        <f t="shared" si="167"/>
        <v>0.94215621640627445</v>
      </c>
      <c r="V617" s="188">
        <f t="shared" si="168"/>
        <v>1.5269336962679832E+16</v>
      </c>
      <c r="W617" s="323">
        <v>2.0680000000000001</v>
      </c>
      <c r="X617" s="323">
        <v>1.706</v>
      </c>
      <c r="Y617" s="323">
        <v>0.57899999999999996</v>
      </c>
      <c r="Z617" s="323">
        <v>0.22900000000000001</v>
      </c>
      <c r="AA617" s="323">
        <v>40.67</v>
      </c>
      <c r="AB617" s="323">
        <v>32.04</v>
      </c>
      <c r="AC617" s="323">
        <v>12.94</v>
      </c>
      <c r="AD617" s="323">
        <v>5.64</v>
      </c>
      <c r="AE617" s="323">
        <v>0</v>
      </c>
      <c r="AF617" s="323">
        <v>0</v>
      </c>
      <c r="AG617" s="323">
        <v>0</v>
      </c>
      <c r="AH617" s="323">
        <v>0</v>
      </c>
      <c r="AI617" s="323">
        <v>0.45</v>
      </c>
      <c r="AJ617" s="323">
        <v>0.43</v>
      </c>
      <c r="AK617" s="323">
        <v>0.89</v>
      </c>
      <c r="AL617" s="323">
        <v>7.78</v>
      </c>
      <c r="AM617" s="323">
        <v>5.3726594935611653E-2</v>
      </c>
      <c r="AN617" s="323">
        <v>8.1527097412420563E-2</v>
      </c>
      <c r="AO617" s="323">
        <v>8.6351809797906229E-2</v>
      </c>
      <c r="AP617" s="323">
        <v>1.961032142694865E-2</v>
      </c>
      <c r="AQ617" s="323">
        <v>0.10268659493561165</v>
      </c>
      <c r="AR617" s="323">
        <v>0.13048709741242057</v>
      </c>
      <c r="AS617" s="323">
        <v>0.13531180979790625</v>
      </c>
      <c r="AT617" s="323">
        <v>6.8570321426948647E-2</v>
      </c>
      <c r="AU617" s="190">
        <v>353408074681055.38</v>
      </c>
      <c r="AV617" s="190">
        <v>673581129796771.5</v>
      </c>
      <c r="AW617" s="190">
        <v>4893506600797844</v>
      </c>
      <c r="AX617" s="190">
        <v>1111305455799114.4</v>
      </c>
      <c r="AY617" s="203">
        <v>14.6</v>
      </c>
      <c r="AZ617" s="239">
        <v>287.10000000000002</v>
      </c>
      <c r="BA617" s="203">
        <v>2017</v>
      </c>
      <c r="BB617" s="204">
        <v>43251</v>
      </c>
      <c r="BC617" s="203" t="s">
        <v>716</v>
      </c>
    </row>
    <row r="618" spans="1:55" x14ac:dyDescent="0.2">
      <c r="A618" s="184" t="s">
        <v>3186</v>
      </c>
      <c r="B618" s="184" t="s">
        <v>3187</v>
      </c>
      <c r="C618" s="184" t="s">
        <v>934</v>
      </c>
      <c r="D618" s="185" t="s">
        <v>1043</v>
      </c>
      <c r="E618" s="184" t="s">
        <v>3188</v>
      </c>
      <c r="F618" s="184" t="s">
        <v>3188</v>
      </c>
      <c r="G618" s="186">
        <f>IF(ALECA_Input!$F$13="ICAO (3000ft)",'Aircraft Calc'!C$211,'Aircraft Calc'!G$211)</f>
        <v>0.7</v>
      </c>
      <c r="H618" s="186">
        <f>IF(ALECA_Input!$F$13="ICAO (3000ft)",'Aircraft Calc'!D$211,'Aircraft Calc'!H$211)</f>
        <v>2.2000000000000002</v>
      </c>
      <c r="I618" s="186">
        <f>IF(ALECA_Input!$F$13="ICAO (3000ft)",'Aircraft Calc'!E$211,'Aircraft Calc'!I$211)</f>
        <v>4</v>
      </c>
      <c r="J618" s="189">
        <v>1</v>
      </c>
      <c r="K618" s="187">
        <f t="shared" si="157"/>
        <v>565.19399999999996</v>
      </c>
      <c r="L618" s="187">
        <f t="shared" si="158"/>
        <v>21.065895660000002</v>
      </c>
      <c r="M618" s="187">
        <f t="shared" si="159"/>
        <v>0</v>
      </c>
      <c r="N618" s="187">
        <f t="shared" si="160"/>
        <v>0.26215854</v>
      </c>
      <c r="O618" s="187">
        <f t="shared" si="161"/>
        <v>6.7309348331469773E-2</v>
      </c>
      <c r="P618" s="188">
        <f t="shared" si="162"/>
        <v>1.1627122528780449E+18</v>
      </c>
      <c r="Q618" s="187">
        <f t="shared" si="163"/>
        <v>15360</v>
      </c>
      <c r="R618" s="219">
        <f t="shared" si="164"/>
        <v>97.38239999999999</v>
      </c>
      <c r="S618" s="219">
        <f t="shared" si="165"/>
        <v>0</v>
      </c>
      <c r="T618" s="219">
        <f t="shared" si="166"/>
        <v>89.087999999999994</v>
      </c>
      <c r="U618" s="219">
        <f t="shared" si="167"/>
        <v>1.0024726542010811</v>
      </c>
      <c r="V618" s="188">
        <f t="shared" si="168"/>
        <v>1.4192688210607516E+16</v>
      </c>
      <c r="W618" s="323">
        <v>2.649</v>
      </c>
      <c r="X618" s="323">
        <v>2.1680000000000001</v>
      </c>
      <c r="Y618" s="323">
        <v>0.69899999999999995</v>
      </c>
      <c r="Z618" s="323">
        <v>0.25600000000000001</v>
      </c>
      <c r="AA618" s="323">
        <v>56.35</v>
      </c>
      <c r="AB618" s="323">
        <v>43.21</v>
      </c>
      <c r="AC618" s="323">
        <v>14.49</v>
      </c>
      <c r="AD618" s="323">
        <v>6.34</v>
      </c>
      <c r="AE618" s="323">
        <v>0</v>
      </c>
      <c r="AF618" s="323">
        <v>0</v>
      </c>
      <c r="AG618" s="323">
        <v>0</v>
      </c>
      <c r="AH618" s="323">
        <v>0</v>
      </c>
      <c r="AI618" s="323">
        <v>0.35</v>
      </c>
      <c r="AJ618" s="323">
        <v>0.44</v>
      </c>
      <c r="AK618" s="323">
        <v>0.57999999999999996</v>
      </c>
      <c r="AL618" s="323">
        <v>5.8</v>
      </c>
      <c r="AM618" s="323">
        <v>3.9975998200484766E-2</v>
      </c>
      <c r="AN618" s="323">
        <v>6.2132950948552132E-2</v>
      </c>
      <c r="AO618" s="323">
        <v>0.10377230038762149</v>
      </c>
      <c r="AP618" s="323">
        <v>1.6305146757882891E-2</v>
      </c>
      <c r="AQ618" s="323">
        <v>8.893599820048477E-2</v>
      </c>
      <c r="AR618" s="323">
        <v>0.11109295094855214</v>
      </c>
      <c r="AS618" s="323">
        <v>0.15273230038762151</v>
      </c>
      <c r="AT618" s="323">
        <v>6.5265146757882891E-2</v>
      </c>
      <c r="AU618" s="190">
        <v>262958048512437.63</v>
      </c>
      <c r="AV618" s="190">
        <v>513345680465217.81</v>
      </c>
      <c r="AW618" s="190">
        <v>5880715622698105</v>
      </c>
      <c r="AX618" s="190">
        <v>924003138711426.88</v>
      </c>
      <c r="AY618" s="203">
        <v>23.6</v>
      </c>
      <c r="AZ618" s="239">
        <v>350.9</v>
      </c>
      <c r="BA618" s="203">
        <v>2017</v>
      </c>
      <c r="BB618" s="204">
        <v>43251</v>
      </c>
      <c r="BC618" s="203" t="s">
        <v>716</v>
      </c>
    </row>
    <row r="619" spans="1:55" x14ac:dyDescent="0.2">
      <c r="A619" s="184" t="s">
        <v>3189</v>
      </c>
      <c r="B619" s="184" t="s">
        <v>3190</v>
      </c>
      <c r="C619" s="184" t="s">
        <v>934</v>
      </c>
      <c r="D619" s="185" t="s">
        <v>1043</v>
      </c>
      <c r="E619" s="184" t="s">
        <v>3191</v>
      </c>
      <c r="F619" s="184" t="s">
        <v>3191</v>
      </c>
      <c r="G619" s="186">
        <f>IF(ALECA_Input!$F$13="ICAO (3000ft)",'Aircraft Calc'!C$211,'Aircraft Calc'!G$211)</f>
        <v>0.7</v>
      </c>
      <c r="H619" s="186">
        <f>IF(ALECA_Input!$F$13="ICAO (3000ft)",'Aircraft Calc'!D$211,'Aircraft Calc'!H$211)</f>
        <v>2.2000000000000002</v>
      </c>
      <c r="I619" s="186">
        <f>IF(ALECA_Input!$F$13="ICAO (3000ft)",'Aircraft Calc'!E$211,'Aircraft Calc'!I$211)</f>
        <v>4</v>
      </c>
      <c r="J619" s="189">
        <v>1</v>
      </c>
      <c r="K619" s="187">
        <f t="shared" si="157"/>
        <v>565.19399999999996</v>
      </c>
      <c r="L619" s="187">
        <f t="shared" si="158"/>
        <v>21.065895660000002</v>
      </c>
      <c r="M619" s="187">
        <f t="shared" si="159"/>
        <v>0</v>
      </c>
      <c r="N619" s="187">
        <f t="shared" si="160"/>
        <v>0.26215854</v>
      </c>
      <c r="O619" s="187">
        <f t="shared" si="161"/>
        <v>6.7309348331469773E-2</v>
      </c>
      <c r="P619" s="188">
        <f t="shared" si="162"/>
        <v>1.1627122528780449E+18</v>
      </c>
      <c r="Q619" s="187">
        <f t="shared" si="163"/>
        <v>15360</v>
      </c>
      <c r="R619" s="219">
        <f t="shared" si="164"/>
        <v>97.38239999999999</v>
      </c>
      <c r="S619" s="219">
        <f t="shared" si="165"/>
        <v>0</v>
      </c>
      <c r="T619" s="219">
        <f t="shared" si="166"/>
        <v>89.087999999999994</v>
      </c>
      <c r="U619" s="219">
        <f t="shared" si="167"/>
        <v>1.0024726542010811</v>
      </c>
      <c r="V619" s="188">
        <f t="shared" si="168"/>
        <v>1.4192688210607516E+16</v>
      </c>
      <c r="W619" s="323">
        <v>2.649</v>
      </c>
      <c r="X619" s="323">
        <v>2.1680000000000001</v>
      </c>
      <c r="Y619" s="323">
        <v>0.69899999999999995</v>
      </c>
      <c r="Z619" s="323">
        <v>0.25600000000000001</v>
      </c>
      <c r="AA619" s="323">
        <v>56.35</v>
      </c>
      <c r="AB619" s="323">
        <v>43.21</v>
      </c>
      <c r="AC619" s="323">
        <v>14.49</v>
      </c>
      <c r="AD619" s="323">
        <v>6.34</v>
      </c>
      <c r="AE619" s="323">
        <v>0</v>
      </c>
      <c r="AF619" s="323">
        <v>0</v>
      </c>
      <c r="AG619" s="323">
        <v>0</v>
      </c>
      <c r="AH619" s="323">
        <v>0</v>
      </c>
      <c r="AI619" s="323">
        <v>0.35</v>
      </c>
      <c r="AJ619" s="323">
        <v>0.44</v>
      </c>
      <c r="AK619" s="323">
        <v>0.57999999999999996</v>
      </c>
      <c r="AL619" s="323">
        <v>5.8</v>
      </c>
      <c r="AM619" s="323">
        <v>3.9975998200484766E-2</v>
      </c>
      <c r="AN619" s="323">
        <v>6.2132950948552132E-2</v>
      </c>
      <c r="AO619" s="323">
        <v>0.10377230038762149</v>
      </c>
      <c r="AP619" s="323">
        <v>1.6305146757882891E-2</v>
      </c>
      <c r="AQ619" s="323">
        <v>8.893599820048477E-2</v>
      </c>
      <c r="AR619" s="323">
        <v>0.11109295094855214</v>
      </c>
      <c r="AS619" s="323">
        <v>0.15273230038762151</v>
      </c>
      <c r="AT619" s="323">
        <v>6.5265146757882891E-2</v>
      </c>
      <c r="AU619" s="190">
        <v>262958048512437.63</v>
      </c>
      <c r="AV619" s="190">
        <v>513345680465217.81</v>
      </c>
      <c r="AW619" s="190">
        <v>5880715622698105</v>
      </c>
      <c r="AX619" s="190">
        <v>924003138711426.88</v>
      </c>
      <c r="AY619" s="203">
        <v>23.6</v>
      </c>
      <c r="AZ619" s="239">
        <v>350.9</v>
      </c>
      <c r="BA619" s="203">
        <v>2017</v>
      </c>
      <c r="BB619" s="204">
        <v>43251</v>
      </c>
      <c r="BC619" s="203" t="s">
        <v>716</v>
      </c>
    </row>
    <row r="620" spans="1:55" x14ac:dyDescent="0.2">
      <c r="A620" s="184" t="s">
        <v>3192</v>
      </c>
      <c r="B620" s="184" t="s">
        <v>3193</v>
      </c>
      <c r="C620" s="184" t="s">
        <v>934</v>
      </c>
      <c r="D620" s="185" t="s">
        <v>1043</v>
      </c>
      <c r="E620" s="184" t="s">
        <v>3194</v>
      </c>
      <c r="F620" s="184" t="s">
        <v>3194</v>
      </c>
      <c r="G620" s="186">
        <f>IF(ALECA_Input!$F$13="ICAO (3000ft)",'Aircraft Calc'!C$211,'Aircraft Calc'!G$211)</f>
        <v>0.7</v>
      </c>
      <c r="H620" s="186">
        <f>IF(ALECA_Input!$F$13="ICAO (3000ft)",'Aircraft Calc'!D$211,'Aircraft Calc'!H$211)</f>
        <v>2.2000000000000002</v>
      </c>
      <c r="I620" s="186">
        <f>IF(ALECA_Input!$F$13="ICAO (3000ft)",'Aircraft Calc'!E$211,'Aircraft Calc'!I$211)</f>
        <v>4</v>
      </c>
      <c r="J620" s="189">
        <v>1</v>
      </c>
      <c r="K620" s="187">
        <f t="shared" si="157"/>
        <v>535.02599999999995</v>
      </c>
      <c r="L620" s="187">
        <f t="shared" si="158"/>
        <v>18.547303499999998</v>
      </c>
      <c r="M620" s="187">
        <f t="shared" si="159"/>
        <v>0</v>
      </c>
      <c r="N620" s="187">
        <f t="shared" si="160"/>
        <v>0.26858273999999999</v>
      </c>
      <c r="O620" s="187">
        <f t="shared" si="161"/>
        <v>6.4458970452108522E-2</v>
      </c>
      <c r="P620" s="188">
        <f t="shared" si="162"/>
        <v>1.0752286149316142E+18</v>
      </c>
      <c r="Q620" s="187">
        <f t="shared" si="163"/>
        <v>14940</v>
      </c>
      <c r="R620" s="219">
        <f t="shared" si="164"/>
        <v>92.0304</v>
      </c>
      <c r="S620" s="219">
        <f t="shared" si="165"/>
        <v>0</v>
      </c>
      <c r="T620" s="219">
        <f t="shared" si="166"/>
        <v>93.0762</v>
      </c>
      <c r="U620" s="219">
        <f t="shared" si="167"/>
        <v>0.99051938670369089</v>
      </c>
      <c r="V620" s="188">
        <f t="shared" si="168"/>
        <v>1.4680608054239636E+16</v>
      </c>
      <c r="W620" s="323">
        <v>2.4969999999999999</v>
      </c>
      <c r="X620" s="323">
        <v>2.0459999999999998</v>
      </c>
      <c r="Y620" s="323">
        <v>0.66700000000000004</v>
      </c>
      <c r="Z620" s="323">
        <v>0.249</v>
      </c>
      <c r="AA620" s="323">
        <v>52.07</v>
      </c>
      <c r="AB620" s="323">
        <v>40.11</v>
      </c>
      <c r="AC620" s="323">
        <v>14.08</v>
      </c>
      <c r="AD620" s="323">
        <v>6.16</v>
      </c>
      <c r="AE620" s="323">
        <v>0</v>
      </c>
      <c r="AF620" s="323">
        <v>0</v>
      </c>
      <c r="AG620" s="323">
        <v>0</v>
      </c>
      <c r="AH620" s="323">
        <v>0</v>
      </c>
      <c r="AI620" s="323">
        <v>0.41</v>
      </c>
      <c r="AJ620" s="323">
        <v>0.45</v>
      </c>
      <c r="AK620" s="323">
        <v>0.65</v>
      </c>
      <c r="AL620" s="323">
        <v>6.23</v>
      </c>
      <c r="AM620" s="323">
        <v>4.1939120325668031E-2</v>
      </c>
      <c r="AN620" s="323">
        <v>6.6765480751206363E-2</v>
      </c>
      <c r="AO620" s="323">
        <v>9.8914838016208179E-2</v>
      </c>
      <c r="AP620" s="323">
        <v>1.7339825080568343E-2</v>
      </c>
      <c r="AQ620" s="323">
        <v>9.0899120325668034E-2</v>
      </c>
      <c r="AR620" s="323">
        <v>0.11572548075120637</v>
      </c>
      <c r="AS620" s="323">
        <v>0.14787483801620818</v>
      </c>
      <c r="AT620" s="323">
        <v>6.6299825080568336E-2</v>
      </c>
      <c r="AU620" s="190">
        <v>275871266099672.81</v>
      </c>
      <c r="AV620" s="190">
        <v>551619883243515.94</v>
      </c>
      <c r="AW620" s="190">
        <v>5605446068611533</v>
      </c>
      <c r="AX620" s="190">
        <v>982637754634513.88</v>
      </c>
      <c r="AY620" s="203">
        <v>20.9</v>
      </c>
      <c r="AZ620" s="239">
        <v>334.7</v>
      </c>
      <c r="BA620" s="203">
        <v>2017</v>
      </c>
      <c r="BB620" s="204">
        <v>43251</v>
      </c>
      <c r="BC620" s="203" t="s">
        <v>716</v>
      </c>
    </row>
    <row r="621" spans="1:55" x14ac:dyDescent="0.2">
      <c r="A621" s="184" t="s">
        <v>3195</v>
      </c>
      <c r="B621" s="184" t="s">
        <v>3196</v>
      </c>
      <c r="C621" s="184" t="s">
        <v>934</v>
      </c>
      <c r="D621" s="185" t="s">
        <v>1043</v>
      </c>
      <c r="E621" s="184" t="s">
        <v>3197</v>
      </c>
      <c r="F621" s="184" t="s">
        <v>3197</v>
      </c>
      <c r="G621" s="186">
        <f>IF(ALECA_Input!$F$13="ICAO (3000ft)",'Aircraft Calc'!C$211,'Aircraft Calc'!G$211)</f>
        <v>0.7</v>
      </c>
      <c r="H621" s="186">
        <f>IF(ALECA_Input!$F$13="ICAO (3000ft)",'Aircraft Calc'!D$211,'Aircraft Calc'!H$211)</f>
        <v>2.2000000000000002</v>
      </c>
      <c r="I621" s="186">
        <f>IF(ALECA_Input!$F$13="ICAO (3000ft)",'Aircraft Calc'!E$211,'Aircraft Calc'!I$211)</f>
        <v>4</v>
      </c>
      <c r="J621" s="189">
        <v>1</v>
      </c>
      <c r="K621" s="187">
        <f t="shared" si="157"/>
        <v>578.46600000000001</v>
      </c>
      <c r="L621" s="187">
        <f t="shared" si="158"/>
        <v>22.358969399999999</v>
      </c>
      <c r="M621" s="187">
        <f t="shared" si="159"/>
        <v>0</v>
      </c>
      <c r="N621" s="187">
        <f t="shared" si="160"/>
        <v>0.27901422000000003</v>
      </c>
      <c r="O621" s="187">
        <f t="shared" si="161"/>
        <v>6.8346214625256335E-2</v>
      </c>
      <c r="P621" s="188">
        <f t="shared" si="162"/>
        <v>1.1953286402517348E+18</v>
      </c>
      <c r="Q621" s="187">
        <f t="shared" si="163"/>
        <v>15600.000000000002</v>
      </c>
      <c r="R621" s="219">
        <f t="shared" si="164"/>
        <v>103.11600000000001</v>
      </c>
      <c r="S621" s="219">
        <f t="shared" si="165"/>
        <v>0</v>
      </c>
      <c r="T621" s="219">
        <f t="shared" si="166"/>
        <v>95.628</v>
      </c>
      <c r="U621" s="219">
        <f t="shared" si="167"/>
        <v>1.0181362894229733</v>
      </c>
      <c r="V621" s="188">
        <f t="shared" si="168"/>
        <v>1.441444896389826E+16</v>
      </c>
      <c r="W621" s="323">
        <v>2.7210000000000001</v>
      </c>
      <c r="X621" s="323">
        <v>2.222</v>
      </c>
      <c r="Y621" s="323">
        <v>0.71199999999999997</v>
      </c>
      <c r="Z621" s="323">
        <v>0.26</v>
      </c>
      <c r="AA621" s="323">
        <v>59.3</v>
      </c>
      <c r="AB621" s="323">
        <v>44.55</v>
      </c>
      <c r="AC621" s="323">
        <v>14.72</v>
      </c>
      <c r="AD621" s="323">
        <v>6.61</v>
      </c>
      <c r="AE621" s="323">
        <v>0</v>
      </c>
      <c r="AF621" s="323">
        <v>0</v>
      </c>
      <c r="AG621" s="323">
        <v>0</v>
      </c>
      <c r="AH621" s="323">
        <v>0</v>
      </c>
      <c r="AI621" s="323">
        <v>0.43</v>
      </c>
      <c r="AJ621" s="323">
        <v>0.44</v>
      </c>
      <c r="AK621" s="323">
        <v>0.59</v>
      </c>
      <c r="AL621" s="323">
        <v>6.13</v>
      </c>
      <c r="AM621" s="323">
        <v>3.9342261151965152E-2</v>
      </c>
      <c r="AN621" s="323">
        <v>5.969967687706864E-2</v>
      </c>
      <c r="AO621" s="323">
        <v>0.10544389600617808</v>
      </c>
      <c r="AP621" s="323">
        <v>1.6305146757882891E-2</v>
      </c>
      <c r="AQ621" s="323">
        <v>8.8302261151965156E-2</v>
      </c>
      <c r="AR621" s="323">
        <v>0.10865967687706864</v>
      </c>
      <c r="AS621" s="323">
        <v>0.1544038960061781</v>
      </c>
      <c r="AT621" s="323">
        <v>6.5265146757882891E-2</v>
      </c>
      <c r="AU621" s="190">
        <v>258789390691487.25</v>
      </c>
      <c r="AV621" s="190">
        <v>493241843211159.69</v>
      </c>
      <c r="AW621" s="190">
        <v>5975443969589913</v>
      </c>
      <c r="AX621" s="190">
        <v>924003138711426.88</v>
      </c>
      <c r="AY621" s="203">
        <v>25</v>
      </c>
      <c r="AZ621" s="239">
        <v>358.1</v>
      </c>
      <c r="BA621" s="203">
        <v>2017</v>
      </c>
      <c r="BB621" s="204">
        <v>43251</v>
      </c>
      <c r="BC621" s="203" t="s">
        <v>716</v>
      </c>
    </row>
    <row r="622" spans="1:55" x14ac:dyDescent="0.2">
      <c r="A622" s="184" t="s">
        <v>3198</v>
      </c>
      <c r="B622" s="184" t="s">
        <v>3199</v>
      </c>
      <c r="C622" s="184" t="s">
        <v>934</v>
      </c>
      <c r="D622" s="185" t="s">
        <v>1043</v>
      </c>
      <c r="E622" s="184" t="s">
        <v>3200</v>
      </c>
      <c r="F622" s="184" t="s">
        <v>3200</v>
      </c>
      <c r="G622" s="186">
        <f>IF(ALECA_Input!$F$13="ICAO (3000ft)",'Aircraft Calc'!C$211,'Aircraft Calc'!G$211)</f>
        <v>0.7</v>
      </c>
      <c r="H622" s="186">
        <f>IF(ALECA_Input!$F$13="ICAO (3000ft)",'Aircraft Calc'!D$211,'Aircraft Calc'!H$211)</f>
        <v>2.2000000000000002</v>
      </c>
      <c r="I622" s="186">
        <f>IF(ALECA_Input!$F$13="ICAO (3000ft)",'Aircraft Calc'!E$211,'Aircraft Calc'!I$211)</f>
        <v>4</v>
      </c>
      <c r="J622" s="189">
        <v>1</v>
      </c>
      <c r="K622" s="187">
        <f t="shared" si="157"/>
        <v>578.46600000000001</v>
      </c>
      <c r="L622" s="187">
        <f t="shared" si="158"/>
        <v>22.358969399999999</v>
      </c>
      <c r="M622" s="187">
        <f t="shared" si="159"/>
        <v>0</v>
      </c>
      <c r="N622" s="187">
        <f t="shared" si="160"/>
        <v>0.27901422000000003</v>
      </c>
      <c r="O622" s="187">
        <f t="shared" si="161"/>
        <v>6.8346214625256335E-2</v>
      </c>
      <c r="P622" s="188">
        <f t="shared" si="162"/>
        <v>1.1953286402517348E+18</v>
      </c>
      <c r="Q622" s="187">
        <f t="shared" si="163"/>
        <v>15600.000000000002</v>
      </c>
      <c r="R622" s="219">
        <f t="shared" si="164"/>
        <v>103.11600000000001</v>
      </c>
      <c r="S622" s="219">
        <f t="shared" si="165"/>
        <v>0</v>
      </c>
      <c r="T622" s="219">
        <f t="shared" si="166"/>
        <v>95.628</v>
      </c>
      <c r="U622" s="219">
        <f t="shared" si="167"/>
        <v>1.0181362894229733</v>
      </c>
      <c r="V622" s="188">
        <f t="shared" si="168"/>
        <v>1.441444896389826E+16</v>
      </c>
      <c r="W622" s="323">
        <v>2.7210000000000001</v>
      </c>
      <c r="X622" s="323">
        <v>2.222</v>
      </c>
      <c r="Y622" s="323">
        <v>0.71199999999999997</v>
      </c>
      <c r="Z622" s="323">
        <v>0.26</v>
      </c>
      <c r="AA622" s="323">
        <v>59.3</v>
      </c>
      <c r="AB622" s="323">
        <v>44.55</v>
      </c>
      <c r="AC622" s="323">
        <v>14.72</v>
      </c>
      <c r="AD622" s="323">
        <v>6.61</v>
      </c>
      <c r="AE622" s="323">
        <v>0</v>
      </c>
      <c r="AF622" s="323">
        <v>0</v>
      </c>
      <c r="AG622" s="323">
        <v>0</v>
      </c>
      <c r="AH622" s="323">
        <v>0</v>
      </c>
      <c r="AI622" s="323">
        <v>0.43</v>
      </c>
      <c r="AJ622" s="323">
        <v>0.44</v>
      </c>
      <c r="AK622" s="323">
        <v>0.59</v>
      </c>
      <c r="AL622" s="323">
        <v>6.13</v>
      </c>
      <c r="AM622" s="323">
        <v>3.9342261151965152E-2</v>
      </c>
      <c r="AN622" s="323">
        <v>5.969967687706864E-2</v>
      </c>
      <c r="AO622" s="323">
        <v>0.10544389600617808</v>
      </c>
      <c r="AP622" s="323">
        <v>1.6305146757882891E-2</v>
      </c>
      <c r="AQ622" s="323">
        <v>8.8302261151965156E-2</v>
      </c>
      <c r="AR622" s="323">
        <v>0.10865967687706864</v>
      </c>
      <c r="AS622" s="323">
        <v>0.1544038960061781</v>
      </c>
      <c r="AT622" s="323">
        <v>6.5265146757882891E-2</v>
      </c>
      <c r="AU622" s="190">
        <v>258789390691487.25</v>
      </c>
      <c r="AV622" s="190">
        <v>493241843211159.69</v>
      </c>
      <c r="AW622" s="190">
        <v>5975443969589913</v>
      </c>
      <c r="AX622" s="190">
        <v>924003138711426.88</v>
      </c>
      <c r="AY622" s="203">
        <v>25</v>
      </c>
      <c r="AZ622" s="239">
        <v>358.1</v>
      </c>
      <c r="BA622" s="203">
        <v>2017</v>
      </c>
      <c r="BB622" s="204">
        <v>43251</v>
      </c>
      <c r="BC622" s="203" t="s">
        <v>716</v>
      </c>
    </row>
    <row r="623" spans="1:55" x14ac:dyDescent="0.2">
      <c r="A623" s="184" t="s">
        <v>3201</v>
      </c>
      <c r="B623" s="184" t="s">
        <v>3202</v>
      </c>
      <c r="C623" s="184" t="s">
        <v>934</v>
      </c>
      <c r="D623" s="185" t="s">
        <v>1043</v>
      </c>
      <c r="E623" s="184" t="s">
        <v>3203</v>
      </c>
      <c r="F623" s="184" t="s">
        <v>3203</v>
      </c>
      <c r="G623" s="186">
        <f>IF(ALECA_Input!$F$13="ICAO (3000ft)",'Aircraft Calc'!C$211,'Aircraft Calc'!G$211)</f>
        <v>0.7</v>
      </c>
      <c r="H623" s="186">
        <f>IF(ALECA_Input!$F$13="ICAO (3000ft)",'Aircraft Calc'!D$211,'Aircraft Calc'!H$211)</f>
        <v>2.2000000000000002</v>
      </c>
      <c r="I623" s="186">
        <f>IF(ALECA_Input!$F$13="ICAO (3000ft)",'Aircraft Calc'!E$211,'Aircraft Calc'!I$211)</f>
        <v>4</v>
      </c>
      <c r="J623" s="189">
        <v>1</v>
      </c>
      <c r="K623" s="187">
        <f t="shared" si="157"/>
        <v>535.02599999999995</v>
      </c>
      <c r="L623" s="187">
        <f t="shared" si="158"/>
        <v>18.547303499999998</v>
      </c>
      <c r="M623" s="187">
        <f t="shared" si="159"/>
        <v>0</v>
      </c>
      <c r="N623" s="187">
        <f t="shared" si="160"/>
        <v>0.26858273999999999</v>
      </c>
      <c r="O623" s="187">
        <f t="shared" si="161"/>
        <v>6.4458970452108522E-2</v>
      </c>
      <c r="P623" s="188">
        <f t="shared" si="162"/>
        <v>1.0752286149316142E+18</v>
      </c>
      <c r="Q623" s="187">
        <f t="shared" si="163"/>
        <v>14940</v>
      </c>
      <c r="R623" s="219">
        <f t="shared" si="164"/>
        <v>92.0304</v>
      </c>
      <c r="S623" s="219">
        <f t="shared" si="165"/>
        <v>0</v>
      </c>
      <c r="T623" s="219">
        <f t="shared" si="166"/>
        <v>93.0762</v>
      </c>
      <c r="U623" s="219">
        <f t="shared" si="167"/>
        <v>0.99051938670369089</v>
      </c>
      <c r="V623" s="188">
        <f t="shared" si="168"/>
        <v>1.4680608054239636E+16</v>
      </c>
      <c r="W623" s="323">
        <v>2.4969999999999999</v>
      </c>
      <c r="X623" s="323">
        <v>2.0459999999999998</v>
      </c>
      <c r="Y623" s="323">
        <v>0.66700000000000004</v>
      </c>
      <c r="Z623" s="323">
        <v>0.249</v>
      </c>
      <c r="AA623" s="323">
        <v>52.07</v>
      </c>
      <c r="AB623" s="323">
        <v>40.11</v>
      </c>
      <c r="AC623" s="323">
        <v>14.08</v>
      </c>
      <c r="AD623" s="323">
        <v>6.16</v>
      </c>
      <c r="AE623" s="323">
        <v>0</v>
      </c>
      <c r="AF623" s="323">
        <v>0</v>
      </c>
      <c r="AG623" s="323">
        <v>0</v>
      </c>
      <c r="AH623" s="323">
        <v>0</v>
      </c>
      <c r="AI623" s="323">
        <v>0.41</v>
      </c>
      <c r="AJ623" s="323">
        <v>0.45</v>
      </c>
      <c r="AK623" s="323">
        <v>0.65</v>
      </c>
      <c r="AL623" s="323">
        <v>6.23</v>
      </c>
      <c r="AM623" s="323">
        <v>4.1939120325668031E-2</v>
      </c>
      <c r="AN623" s="323">
        <v>6.6765480751206363E-2</v>
      </c>
      <c r="AO623" s="323">
        <v>9.8914838016208179E-2</v>
      </c>
      <c r="AP623" s="323">
        <v>1.7339825080568343E-2</v>
      </c>
      <c r="AQ623" s="323">
        <v>9.0899120325668034E-2</v>
      </c>
      <c r="AR623" s="323">
        <v>0.11572548075120637</v>
      </c>
      <c r="AS623" s="323">
        <v>0.14787483801620818</v>
      </c>
      <c r="AT623" s="323">
        <v>6.6299825080568336E-2</v>
      </c>
      <c r="AU623" s="190">
        <v>275871266099672.81</v>
      </c>
      <c r="AV623" s="190">
        <v>551619883243515.94</v>
      </c>
      <c r="AW623" s="190">
        <v>5605446068611533</v>
      </c>
      <c r="AX623" s="190">
        <v>982637754634513.88</v>
      </c>
      <c r="AY623" s="203">
        <v>20.9</v>
      </c>
      <c r="AZ623" s="239">
        <v>334.7</v>
      </c>
      <c r="BA623" s="203">
        <v>2017</v>
      </c>
      <c r="BB623" s="204">
        <v>43251</v>
      </c>
      <c r="BC623" s="203" t="s">
        <v>716</v>
      </c>
    </row>
    <row r="624" spans="1:55" x14ac:dyDescent="0.2">
      <c r="A624" s="184" t="s">
        <v>3204</v>
      </c>
      <c r="B624" s="184" t="s">
        <v>3205</v>
      </c>
      <c r="C624" s="184" t="s">
        <v>934</v>
      </c>
      <c r="D624" s="185" t="s">
        <v>1043</v>
      </c>
      <c r="E624" s="184" t="s">
        <v>3206</v>
      </c>
      <c r="F624" s="184" t="s">
        <v>3206</v>
      </c>
      <c r="G624" s="186">
        <f>IF(ALECA_Input!$F$13="ICAO (3000ft)",'Aircraft Calc'!C$211,'Aircraft Calc'!G$211)</f>
        <v>0.7</v>
      </c>
      <c r="H624" s="186">
        <f>IF(ALECA_Input!$F$13="ICAO (3000ft)",'Aircraft Calc'!D$211,'Aircraft Calc'!H$211)</f>
        <v>2.2000000000000002</v>
      </c>
      <c r="I624" s="186">
        <f>IF(ALECA_Input!$F$13="ICAO (3000ft)",'Aircraft Calc'!E$211,'Aircraft Calc'!I$211)</f>
        <v>4</v>
      </c>
      <c r="J624" s="189">
        <v>1</v>
      </c>
      <c r="K624" s="187">
        <f t="shared" si="157"/>
        <v>565.19399999999996</v>
      </c>
      <c r="L624" s="187">
        <f t="shared" si="158"/>
        <v>21.065895660000002</v>
      </c>
      <c r="M624" s="187">
        <f t="shared" si="159"/>
        <v>0</v>
      </c>
      <c r="N624" s="187">
        <f t="shared" si="160"/>
        <v>0.26215854</v>
      </c>
      <c r="O624" s="187">
        <f t="shared" si="161"/>
        <v>6.7309348331469773E-2</v>
      </c>
      <c r="P624" s="188">
        <f t="shared" si="162"/>
        <v>1.1627122528780449E+18</v>
      </c>
      <c r="Q624" s="187">
        <f t="shared" si="163"/>
        <v>15360</v>
      </c>
      <c r="R624" s="219">
        <f t="shared" si="164"/>
        <v>97.38239999999999</v>
      </c>
      <c r="S624" s="219">
        <f t="shared" si="165"/>
        <v>0</v>
      </c>
      <c r="T624" s="219">
        <f t="shared" si="166"/>
        <v>89.087999999999994</v>
      </c>
      <c r="U624" s="219">
        <f t="shared" si="167"/>
        <v>1.0024726542010811</v>
      </c>
      <c r="V624" s="188">
        <f t="shared" si="168"/>
        <v>1.4192688210607516E+16</v>
      </c>
      <c r="W624" s="323">
        <v>2.649</v>
      </c>
      <c r="X624" s="323">
        <v>2.1680000000000001</v>
      </c>
      <c r="Y624" s="323">
        <v>0.69899999999999995</v>
      </c>
      <c r="Z624" s="323">
        <v>0.25600000000000001</v>
      </c>
      <c r="AA624" s="323">
        <v>56.35</v>
      </c>
      <c r="AB624" s="323">
        <v>43.21</v>
      </c>
      <c r="AC624" s="323">
        <v>14.49</v>
      </c>
      <c r="AD624" s="323">
        <v>6.34</v>
      </c>
      <c r="AE624" s="323">
        <v>0</v>
      </c>
      <c r="AF624" s="323">
        <v>0</v>
      </c>
      <c r="AG624" s="323">
        <v>0</v>
      </c>
      <c r="AH624" s="323">
        <v>0</v>
      </c>
      <c r="AI624" s="323">
        <v>0.35</v>
      </c>
      <c r="AJ624" s="323">
        <v>0.44</v>
      </c>
      <c r="AK624" s="323">
        <v>0.57999999999999996</v>
      </c>
      <c r="AL624" s="323">
        <v>5.8</v>
      </c>
      <c r="AM624" s="323">
        <v>3.9975998200484766E-2</v>
      </c>
      <c r="AN624" s="323">
        <v>6.2132950948552132E-2</v>
      </c>
      <c r="AO624" s="323">
        <v>0.10377230038762149</v>
      </c>
      <c r="AP624" s="323">
        <v>1.6305146757882891E-2</v>
      </c>
      <c r="AQ624" s="323">
        <v>8.893599820048477E-2</v>
      </c>
      <c r="AR624" s="323">
        <v>0.11109295094855214</v>
      </c>
      <c r="AS624" s="323">
        <v>0.15273230038762151</v>
      </c>
      <c r="AT624" s="323">
        <v>6.5265146757882891E-2</v>
      </c>
      <c r="AU624" s="190">
        <v>262958048512437.63</v>
      </c>
      <c r="AV624" s="190">
        <v>513345680465217.81</v>
      </c>
      <c r="AW624" s="190">
        <v>5880715622698105</v>
      </c>
      <c r="AX624" s="190">
        <v>924003138711426.88</v>
      </c>
      <c r="AY624" s="203">
        <v>23.6</v>
      </c>
      <c r="AZ624" s="239">
        <v>350.9</v>
      </c>
      <c r="BA624" s="203">
        <v>2017</v>
      </c>
      <c r="BB624" s="204">
        <v>43251</v>
      </c>
      <c r="BC624" s="203" t="s">
        <v>716</v>
      </c>
    </row>
    <row r="625" spans="1:55" x14ac:dyDescent="0.2">
      <c r="A625" s="184" t="s">
        <v>3207</v>
      </c>
      <c r="B625" s="184" t="s">
        <v>3208</v>
      </c>
      <c r="C625" s="184" t="s">
        <v>934</v>
      </c>
      <c r="D625" s="185" t="s">
        <v>1043</v>
      </c>
      <c r="E625" s="184" t="s">
        <v>3209</v>
      </c>
      <c r="F625" s="184" t="s">
        <v>3209</v>
      </c>
      <c r="G625" s="186">
        <f>IF(ALECA_Input!$F$13="ICAO (3000ft)",'Aircraft Calc'!C$211,'Aircraft Calc'!G$211)</f>
        <v>0.7</v>
      </c>
      <c r="H625" s="186">
        <f>IF(ALECA_Input!$F$13="ICAO (3000ft)",'Aircraft Calc'!D$211,'Aircraft Calc'!H$211)</f>
        <v>2.2000000000000002</v>
      </c>
      <c r="I625" s="186">
        <f>IF(ALECA_Input!$F$13="ICAO (3000ft)",'Aircraft Calc'!E$211,'Aircraft Calc'!I$211)</f>
        <v>4</v>
      </c>
      <c r="J625" s="189">
        <v>1</v>
      </c>
      <c r="K625" s="187">
        <f t="shared" si="157"/>
        <v>589.51800000000003</v>
      </c>
      <c r="L625" s="187">
        <f t="shared" si="158"/>
        <v>23.470122839999998</v>
      </c>
      <c r="M625" s="187">
        <f t="shared" si="159"/>
        <v>0</v>
      </c>
      <c r="N625" s="187">
        <f t="shared" si="160"/>
        <v>0.28012325999999999</v>
      </c>
      <c r="O625" s="187">
        <f t="shared" si="161"/>
        <v>6.9523553601828686E-2</v>
      </c>
      <c r="P625" s="188">
        <f t="shared" si="162"/>
        <v>1.2280928000137917E+18</v>
      </c>
      <c r="Q625" s="187">
        <f t="shared" si="163"/>
        <v>15720</v>
      </c>
      <c r="R625" s="219">
        <f t="shared" si="164"/>
        <v>104.8524</v>
      </c>
      <c r="S625" s="219">
        <f t="shared" si="165"/>
        <v>0</v>
      </c>
      <c r="T625" s="219">
        <f t="shared" si="166"/>
        <v>94.162800000000004</v>
      </c>
      <c r="U625" s="219">
        <f t="shared" si="167"/>
        <v>1.0259681070339191</v>
      </c>
      <c r="V625" s="188">
        <f t="shared" si="168"/>
        <v>1.4525329340543632E+16</v>
      </c>
      <c r="W625" s="323">
        <v>2.7829999999999999</v>
      </c>
      <c r="X625" s="323">
        <v>2.266</v>
      </c>
      <c r="Y625" s="323">
        <v>0.72299999999999998</v>
      </c>
      <c r="Z625" s="323">
        <v>0.26200000000000001</v>
      </c>
      <c r="AA625" s="323">
        <v>61.62</v>
      </c>
      <c r="AB625" s="323">
        <v>45.76</v>
      </c>
      <c r="AC625" s="323">
        <v>14.87</v>
      </c>
      <c r="AD625" s="323">
        <v>6.67</v>
      </c>
      <c r="AE625" s="323">
        <v>0</v>
      </c>
      <c r="AF625" s="323">
        <v>0</v>
      </c>
      <c r="AG625" s="323">
        <v>0</v>
      </c>
      <c r="AH625" s="323">
        <v>0</v>
      </c>
      <c r="AI625" s="323">
        <v>0.45</v>
      </c>
      <c r="AJ625" s="323">
        <v>0.43</v>
      </c>
      <c r="AK625" s="323">
        <v>0.56999999999999995</v>
      </c>
      <c r="AL625" s="323">
        <v>5.99</v>
      </c>
      <c r="AM625" s="323">
        <v>3.9657863797914868E-2</v>
      </c>
      <c r="AN625" s="323">
        <v>5.8285695154747852E-2</v>
      </c>
      <c r="AO625" s="323">
        <v>0.10714241819282309</v>
      </c>
      <c r="AP625" s="323">
        <v>1.6305146757882891E-2</v>
      </c>
      <c r="AQ625" s="323">
        <v>8.8617863797914878E-2</v>
      </c>
      <c r="AR625" s="323">
        <v>0.10724569515474786</v>
      </c>
      <c r="AS625" s="323">
        <v>0.15610241819282308</v>
      </c>
      <c r="AT625" s="323">
        <v>6.5265146757882891E-2</v>
      </c>
      <c r="AU625" s="190">
        <v>260865392783244.75</v>
      </c>
      <c r="AV625" s="190">
        <v>481559452493693.63</v>
      </c>
      <c r="AW625" s="190">
        <v>6071698229360510</v>
      </c>
      <c r="AX625" s="190">
        <v>924003138711426.88</v>
      </c>
      <c r="AY625" s="203">
        <v>26.2</v>
      </c>
      <c r="AZ625" s="239">
        <v>363.9</v>
      </c>
      <c r="BA625" s="203">
        <v>2017</v>
      </c>
      <c r="BB625" s="204">
        <v>43251</v>
      </c>
      <c r="BC625" s="203" t="s">
        <v>716</v>
      </c>
    </row>
    <row r="626" spans="1:55" x14ac:dyDescent="0.2">
      <c r="A626" s="184" t="s">
        <v>3210</v>
      </c>
      <c r="B626" s="184" t="s">
        <v>3211</v>
      </c>
      <c r="C626" s="184" t="s">
        <v>934</v>
      </c>
      <c r="D626" s="185" t="s">
        <v>1043</v>
      </c>
      <c r="E626" s="184" t="s">
        <v>3212</v>
      </c>
      <c r="F626" s="184" t="s">
        <v>3213</v>
      </c>
      <c r="G626" s="186">
        <f>IF(ALECA_Input!$F$13="ICAO (3000ft)",'Aircraft Calc'!C$211,'Aircraft Calc'!G$211)</f>
        <v>0.7</v>
      </c>
      <c r="H626" s="186">
        <f>IF(ALECA_Input!$F$13="ICAO (3000ft)",'Aircraft Calc'!D$211,'Aircraft Calc'!H$211)</f>
        <v>2.2000000000000002</v>
      </c>
      <c r="I626" s="186">
        <f>IF(ALECA_Input!$F$13="ICAO (3000ft)",'Aircraft Calc'!E$211,'Aircraft Calc'!I$211)</f>
        <v>4</v>
      </c>
      <c r="J626" s="189">
        <v>1</v>
      </c>
      <c r="K626" s="187">
        <f t="shared" si="157"/>
        <v>532.70399999999995</v>
      </c>
      <c r="L626" s="187">
        <f t="shared" si="158"/>
        <v>19.44150192</v>
      </c>
      <c r="M626" s="187">
        <f t="shared" si="159"/>
        <v>0</v>
      </c>
      <c r="N626" s="187">
        <f t="shared" si="160"/>
        <v>0.26449775999999997</v>
      </c>
      <c r="O626" s="187">
        <f t="shared" si="161"/>
        <v>6.4454689448192978E-2</v>
      </c>
      <c r="P626" s="188">
        <f t="shared" si="162"/>
        <v>1.0920973760261898E+18</v>
      </c>
      <c r="Q626" s="187">
        <f t="shared" si="163"/>
        <v>14459.999999999998</v>
      </c>
      <c r="R626" s="219">
        <f t="shared" si="164"/>
        <v>88.205999999999989</v>
      </c>
      <c r="S626" s="219">
        <f t="shared" si="165"/>
        <v>0</v>
      </c>
      <c r="T626" s="219">
        <f t="shared" si="166"/>
        <v>93.266999999999996</v>
      </c>
      <c r="U626" s="219">
        <f t="shared" si="167"/>
        <v>0.95869547066501803</v>
      </c>
      <c r="V626" s="188">
        <f t="shared" si="168"/>
        <v>1.420894193201507E+16</v>
      </c>
      <c r="W626" s="323">
        <v>2.4780000000000002</v>
      </c>
      <c r="X626" s="323">
        <v>2.0289999999999999</v>
      </c>
      <c r="Y626" s="323">
        <v>0.67</v>
      </c>
      <c r="Z626" s="323">
        <v>0.24099999999999999</v>
      </c>
      <c r="AA626" s="323">
        <v>56.8</v>
      </c>
      <c r="AB626" s="323">
        <v>42.04</v>
      </c>
      <c r="AC626" s="323">
        <v>14.12</v>
      </c>
      <c r="AD626" s="323">
        <v>6.1</v>
      </c>
      <c r="AE626" s="323">
        <v>0</v>
      </c>
      <c r="AF626" s="323">
        <v>0</v>
      </c>
      <c r="AG626" s="323">
        <v>0</v>
      </c>
      <c r="AH626" s="323">
        <v>0</v>
      </c>
      <c r="AI626" s="323">
        <v>0.41</v>
      </c>
      <c r="AJ626" s="323">
        <v>0.45</v>
      </c>
      <c r="AK626" s="323">
        <v>0.63</v>
      </c>
      <c r="AL626" s="323">
        <v>6.45</v>
      </c>
      <c r="AM626" s="323">
        <v>4.1605363131608709E-2</v>
      </c>
      <c r="AN626" s="323">
        <v>6.6765480751206363E-2</v>
      </c>
      <c r="AO626" s="323">
        <v>0.1005081881609053</v>
      </c>
      <c r="AP626" s="323">
        <v>1.7339825080568343E-2</v>
      </c>
      <c r="AQ626" s="323">
        <v>9.0565363131608706E-2</v>
      </c>
      <c r="AR626" s="323">
        <v>0.11572548075120637</v>
      </c>
      <c r="AS626" s="323">
        <v>0.14946818816090529</v>
      </c>
      <c r="AT626" s="323">
        <v>6.6299825080568336E-2</v>
      </c>
      <c r="AU626" s="190">
        <v>273675845237717.66</v>
      </c>
      <c r="AV626" s="190">
        <v>551619883243515.94</v>
      </c>
      <c r="AW626" s="190">
        <v>5695740290223163</v>
      </c>
      <c r="AX626" s="190">
        <v>982637754634513.88</v>
      </c>
      <c r="AY626" s="203">
        <v>21.7</v>
      </c>
      <c r="AZ626" s="239">
        <v>327.9</v>
      </c>
      <c r="BA626" s="203">
        <v>2017</v>
      </c>
      <c r="BB626" s="204">
        <v>43251</v>
      </c>
      <c r="BC626" s="203" t="s">
        <v>716</v>
      </c>
    </row>
    <row r="627" spans="1:55" x14ac:dyDescent="0.2">
      <c r="A627" s="184" t="s">
        <v>2408</v>
      </c>
      <c r="B627" s="184" t="s">
        <v>2407</v>
      </c>
      <c r="C627" s="184" t="s">
        <v>1886</v>
      </c>
      <c r="D627" s="185" t="s">
        <v>1043</v>
      </c>
      <c r="E627" s="184" t="s">
        <v>2409</v>
      </c>
      <c r="F627" s="184" t="s">
        <v>2410</v>
      </c>
      <c r="G627" s="186">
        <f>IF(ALECA_Input!$F$13="ICAO (3000ft)",'Aircraft Calc'!C$211,'Aircraft Calc'!G$211)</f>
        <v>0.7</v>
      </c>
      <c r="H627" s="186">
        <f>IF(ALECA_Input!$F$13="ICAO (3000ft)",'Aircraft Calc'!D$211,'Aircraft Calc'!H$211)</f>
        <v>2.2000000000000002</v>
      </c>
      <c r="I627" s="186">
        <f>IF(ALECA_Input!$F$13="ICAO (3000ft)",'Aircraft Calc'!E$211,'Aircraft Calc'!I$211)</f>
        <v>4</v>
      </c>
      <c r="J627" s="189">
        <v>1</v>
      </c>
      <c r="K627" s="187">
        <f t="shared" si="157"/>
        <v>261</v>
      </c>
      <c r="L627" s="187">
        <f t="shared" si="158"/>
        <v>3.6083400000000001</v>
      </c>
      <c r="M627" s="187">
        <f t="shared" si="159"/>
        <v>0.14981400000000003</v>
      </c>
      <c r="N627" s="187">
        <f t="shared" si="160"/>
        <v>1.7602500000000003</v>
      </c>
      <c r="O627" s="187">
        <f t="shared" si="161"/>
        <v>0.21888649939152255</v>
      </c>
      <c r="P627" s="188">
        <f t="shared" si="162"/>
        <v>3.933198063318146E+18</v>
      </c>
      <c r="Q627" s="187">
        <f t="shared" si="163"/>
        <v>7800.0000000000009</v>
      </c>
      <c r="R627" s="219">
        <f t="shared" si="164"/>
        <v>28.080000000000002</v>
      </c>
      <c r="S627" s="219">
        <f t="shared" si="165"/>
        <v>340.08000000000004</v>
      </c>
      <c r="T627" s="219">
        <f t="shared" si="166"/>
        <v>470.34000000000009</v>
      </c>
      <c r="U627" s="219">
        <f t="shared" si="167"/>
        <v>4.2031504712546388</v>
      </c>
      <c r="V627" s="188">
        <f t="shared" si="168"/>
        <v>8.6936682117360528E+16</v>
      </c>
      <c r="W627" s="323">
        <v>1.1500000000000001</v>
      </c>
      <c r="X627" s="323">
        <v>0.97499999999999998</v>
      </c>
      <c r="Y627" s="323">
        <v>0.35000000000000003</v>
      </c>
      <c r="Z627" s="323">
        <v>0.13</v>
      </c>
      <c r="AA627" s="323">
        <v>19.100000000000001</v>
      </c>
      <c r="AB627" s="323">
        <v>16.3</v>
      </c>
      <c r="AC627" s="323">
        <v>7</v>
      </c>
      <c r="AD627" s="323">
        <v>3.6</v>
      </c>
      <c r="AE627" s="323">
        <v>0.12</v>
      </c>
      <c r="AF627" s="323">
        <v>0.14000000000000001</v>
      </c>
      <c r="AG627" s="323">
        <v>1.5</v>
      </c>
      <c r="AH627" s="323">
        <v>43.6</v>
      </c>
      <c r="AI627" s="323">
        <v>2.7</v>
      </c>
      <c r="AJ627" s="323">
        <v>3.2</v>
      </c>
      <c r="AK627" s="323">
        <v>14.5</v>
      </c>
      <c r="AL627" s="323">
        <v>60.300000000000004</v>
      </c>
      <c r="AM627" s="323">
        <v>0.62420734549066192</v>
      </c>
      <c r="AN627" s="323">
        <v>0.82276158096230456</v>
      </c>
      <c r="AO627" s="323">
        <v>0.7255464420770833</v>
      </c>
      <c r="AP627" s="323">
        <v>0.22089344503264599</v>
      </c>
      <c r="AQ627" s="323">
        <v>0.68696734549066185</v>
      </c>
      <c r="AR627" s="323">
        <v>0.88236158096230455</v>
      </c>
      <c r="AS627" s="323">
        <v>0.85888144207708328</v>
      </c>
      <c r="AT627" s="323">
        <v>0.538865445032646</v>
      </c>
      <c r="AU627" s="190">
        <v>3936991874578027</v>
      </c>
      <c r="AV627" s="190">
        <v>5189310382782131</v>
      </c>
      <c r="AW627" s="190">
        <v>3.6609251303713888E+16</v>
      </c>
      <c r="AX627" s="190">
        <v>1.1145728476584682E+16</v>
      </c>
      <c r="AY627" s="203">
        <v>17.399999999999999</v>
      </c>
      <c r="AZ627" s="239">
        <v>66.64</v>
      </c>
      <c r="BA627" s="203">
        <v>1990</v>
      </c>
      <c r="BB627" s="204">
        <v>39290</v>
      </c>
      <c r="BC627" s="203" t="s">
        <v>741</v>
      </c>
    </row>
    <row r="628" spans="1:55" x14ac:dyDescent="0.2">
      <c r="A628" s="184" t="s">
        <v>2412</v>
      </c>
      <c r="B628" s="184" t="s">
        <v>2411</v>
      </c>
      <c r="C628" s="184" t="s">
        <v>1886</v>
      </c>
      <c r="D628" s="185" t="s">
        <v>1043</v>
      </c>
      <c r="E628" s="184" t="s">
        <v>2413</v>
      </c>
      <c r="F628" s="184" t="s">
        <v>2414</v>
      </c>
      <c r="G628" s="186">
        <f>IF(ALECA_Input!$F$13="ICAO (3000ft)",'Aircraft Calc'!C$211,'Aircraft Calc'!G$211)</f>
        <v>0.7</v>
      </c>
      <c r="H628" s="186">
        <f>IF(ALECA_Input!$F$13="ICAO (3000ft)",'Aircraft Calc'!D$211,'Aircraft Calc'!H$211)</f>
        <v>2.2000000000000002</v>
      </c>
      <c r="I628" s="186">
        <f>IF(ALECA_Input!$F$13="ICAO (3000ft)",'Aircraft Calc'!E$211,'Aircraft Calc'!I$211)</f>
        <v>4</v>
      </c>
      <c r="J628" s="189">
        <v>1</v>
      </c>
      <c r="K628" s="187">
        <f t="shared" si="157"/>
        <v>375.17999999999995</v>
      </c>
      <c r="L628" s="187">
        <f t="shared" si="158"/>
        <v>4.4286300000000001</v>
      </c>
      <c r="M628" s="187">
        <f t="shared" si="159"/>
        <v>0.51656999999999997</v>
      </c>
      <c r="N628" s="187">
        <f t="shared" si="160"/>
        <v>2.4901799999999996</v>
      </c>
      <c r="O628" s="187">
        <f t="shared" si="161"/>
        <v>0.22253984697466059</v>
      </c>
      <c r="P628" s="188">
        <f t="shared" si="162"/>
        <v>3.8976423746089641E+18</v>
      </c>
      <c r="Q628" s="187">
        <f t="shared" si="163"/>
        <v>12600</v>
      </c>
      <c r="R628" s="219">
        <f t="shared" si="164"/>
        <v>41.580000000000005</v>
      </c>
      <c r="S628" s="219">
        <f t="shared" si="165"/>
        <v>167.58</v>
      </c>
      <c r="T628" s="219">
        <f t="shared" si="166"/>
        <v>786.24</v>
      </c>
      <c r="U628" s="219">
        <f t="shared" si="167"/>
        <v>5.8758190668206352</v>
      </c>
      <c r="V628" s="188">
        <f t="shared" si="168"/>
        <v>2.131805916927817E+17</v>
      </c>
      <c r="W628" s="323">
        <v>1.67</v>
      </c>
      <c r="X628" s="323">
        <v>1.42</v>
      </c>
      <c r="Y628" s="323">
        <v>0.49</v>
      </c>
      <c r="Z628" s="323">
        <v>0.21</v>
      </c>
      <c r="AA628" s="323">
        <v>16.5</v>
      </c>
      <c r="AB628" s="323">
        <v>13.5</v>
      </c>
      <c r="AC628" s="323">
        <v>6.3</v>
      </c>
      <c r="AD628" s="323">
        <v>3.3000000000000003</v>
      </c>
      <c r="AE628" s="323">
        <v>0.70000000000000007</v>
      </c>
      <c r="AF628" s="323">
        <v>0.8</v>
      </c>
      <c r="AG628" s="323">
        <v>2.7</v>
      </c>
      <c r="AH628" s="323">
        <v>13.3</v>
      </c>
      <c r="AI628" s="323">
        <v>2.2000000000000002</v>
      </c>
      <c r="AJ628" s="323">
        <v>2.8000000000000003</v>
      </c>
      <c r="AK628" s="323">
        <v>15.4</v>
      </c>
      <c r="AL628" s="323">
        <v>62.4</v>
      </c>
      <c r="AM628" s="323">
        <v>0.33183633388796996</v>
      </c>
      <c r="AN628" s="323">
        <v>0.43690154927005453</v>
      </c>
      <c r="AO628" s="323">
        <v>0.54506875272601518</v>
      </c>
      <c r="AP628" s="323">
        <v>0.33531384657306634</v>
      </c>
      <c r="AQ628" s="323">
        <v>0.46129633388796998</v>
      </c>
      <c r="AR628" s="323">
        <v>0.5466615492700545</v>
      </c>
      <c r="AS628" s="323">
        <v>0.74590375272601517</v>
      </c>
      <c r="AT628" s="323">
        <v>0.46633484657306629</v>
      </c>
      <c r="AU628" s="190">
        <v>2092953502781622.5</v>
      </c>
      <c r="AV628" s="190">
        <v>2755619365732838.5</v>
      </c>
      <c r="AW628" s="190">
        <v>2.7502800357235528E+16</v>
      </c>
      <c r="AX628" s="190">
        <v>1.6919094578792198E+16</v>
      </c>
      <c r="AY628" s="203">
        <v>13.3</v>
      </c>
      <c r="AZ628" s="239">
        <v>117.60000000000001</v>
      </c>
      <c r="BA628" s="203">
        <v>1990</v>
      </c>
      <c r="BB628" s="204">
        <v>35684</v>
      </c>
      <c r="BC628" s="203" t="s">
        <v>741</v>
      </c>
    </row>
    <row r="629" spans="1:55" x14ac:dyDescent="0.2">
      <c r="A629" s="184" t="s">
        <v>2416</v>
      </c>
      <c r="B629" s="184" t="s">
        <v>2415</v>
      </c>
      <c r="C629" s="184" t="s">
        <v>1886</v>
      </c>
      <c r="D629" s="185" t="s">
        <v>1043</v>
      </c>
      <c r="E629" s="184" t="s">
        <v>2417</v>
      </c>
      <c r="F629" s="184" t="s">
        <v>2418</v>
      </c>
      <c r="G629" s="186">
        <f>IF(ALECA_Input!$F$13="ICAO (3000ft)",'Aircraft Calc'!C$211,'Aircraft Calc'!G$211)</f>
        <v>0.7</v>
      </c>
      <c r="H629" s="186">
        <f>IF(ALECA_Input!$F$13="ICAO (3000ft)",'Aircraft Calc'!D$211,'Aircraft Calc'!H$211)</f>
        <v>2.2000000000000002</v>
      </c>
      <c r="I629" s="186">
        <f>IF(ALECA_Input!$F$13="ICAO (3000ft)",'Aircraft Calc'!E$211,'Aircraft Calc'!I$211)</f>
        <v>4</v>
      </c>
      <c r="J629" s="189">
        <v>1</v>
      </c>
      <c r="K629" s="187">
        <f t="shared" si="157"/>
        <v>355.44</v>
      </c>
      <c r="L629" s="187">
        <f t="shared" si="158"/>
        <v>3.8147520000000004</v>
      </c>
      <c r="M629" s="187">
        <f t="shared" si="159"/>
        <v>0.23179200000000003</v>
      </c>
      <c r="N629" s="187">
        <f t="shared" si="160"/>
        <v>2.2296719999999999</v>
      </c>
      <c r="O629" s="187">
        <f t="shared" si="161"/>
        <v>0.24909858846510155</v>
      </c>
      <c r="P629" s="188">
        <f t="shared" si="162"/>
        <v>4.9570807165233838E+18</v>
      </c>
      <c r="Q629" s="187">
        <f t="shared" si="163"/>
        <v>12900</v>
      </c>
      <c r="R629" s="219">
        <f t="shared" si="164"/>
        <v>34.830000000000005</v>
      </c>
      <c r="S629" s="219">
        <f t="shared" si="165"/>
        <v>135.45000000000002</v>
      </c>
      <c r="T629" s="219">
        <f t="shared" si="166"/>
        <v>696.6</v>
      </c>
      <c r="U629" s="219">
        <f t="shared" si="167"/>
        <v>6.0819796283670078</v>
      </c>
      <c r="V629" s="188">
        <f t="shared" si="168"/>
        <v>2.3284461477095859E+17</v>
      </c>
      <c r="W629" s="323">
        <v>1.52</v>
      </c>
      <c r="X629" s="323">
        <v>1.3</v>
      </c>
      <c r="Y629" s="323">
        <v>0.5</v>
      </c>
      <c r="Z629" s="323">
        <v>0.215</v>
      </c>
      <c r="AA629" s="323">
        <v>16.3</v>
      </c>
      <c r="AB629" s="323">
        <v>12.6</v>
      </c>
      <c r="AC629" s="323">
        <v>5.1000000000000005</v>
      </c>
      <c r="AD629" s="323">
        <v>2.7</v>
      </c>
      <c r="AE629" s="323">
        <v>0.3</v>
      </c>
      <c r="AF629" s="323">
        <v>0.4</v>
      </c>
      <c r="AG629" s="323">
        <v>1.2</v>
      </c>
      <c r="AH629" s="323">
        <v>10.5</v>
      </c>
      <c r="AI629" s="323">
        <v>2.8000000000000003</v>
      </c>
      <c r="AJ629" s="323">
        <v>3.7</v>
      </c>
      <c r="AK629" s="323">
        <v>11.8</v>
      </c>
      <c r="AL629" s="323">
        <v>54</v>
      </c>
      <c r="AM629" s="323">
        <v>0.52206561664781115</v>
      </c>
      <c r="AN629" s="323">
        <v>0.59122094418541993</v>
      </c>
      <c r="AO629" s="323">
        <v>0.67829119230072688</v>
      </c>
      <c r="AP629" s="323">
        <v>0.35772628902069825</v>
      </c>
      <c r="AQ629" s="323">
        <v>0.60552561664781113</v>
      </c>
      <c r="AR629" s="323">
        <v>0.67058094418541991</v>
      </c>
      <c r="AS629" s="323">
        <v>0.79475119230072688</v>
      </c>
      <c r="AT629" s="323">
        <v>0.47147128902069824</v>
      </c>
      <c r="AU629" s="190">
        <v>3292764985204340.5</v>
      </c>
      <c r="AV629" s="190">
        <v>3728940503749918</v>
      </c>
      <c r="AW629" s="190">
        <v>3.4224870078537108E+16</v>
      </c>
      <c r="AX629" s="190">
        <v>1.8049970137283612E+16</v>
      </c>
      <c r="AY629" s="203">
        <v>9</v>
      </c>
      <c r="AZ629" s="239">
        <v>112.7</v>
      </c>
      <c r="BA629" s="203">
        <v>1989</v>
      </c>
      <c r="BB629" s="204">
        <v>35684</v>
      </c>
      <c r="BC629" s="203" t="s">
        <v>3102</v>
      </c>
    </row>
    <row r="630" spans="1:55" x14ac:dyDescent="0.2">
      <c r="A630" s="184" t="s">
        <v>2420</v>
      </c>
      <c r="B630" s="184" t="s">
        <v>2419</v>
      </c>
      <c r="C630" s="184" t="s">
        <v>1886</v>
      </c>
      <c r="D630" s="185" t="s">
        <v>1043</v>
      </c>
      <c r="E630" s="184" t="s">
        <v>2421</v>
      </c>
      <c r="F630" s="184" t="s">
        <v>2422</v>
      </c>
      <c r="G630" s="186">
        <f>IF(ALECA_Input!$F$13="ICAO (3000ft)",'Aircraft Calc'!C$211,'Aircraft Calc'!G$211)</f>
        <v>0.7</v>
      </c>
      <c r="H630" s="186">
        <f>IF(ALECA_Input!$F$13="ICAO (3000ft)",'Aircraft Calc'!D$211,'Aircraft Calc'!H$211)</f>
        <v>2.2000000000000002</v>
      </c>
      <c r="I630" s="186">
        <f>IF(ALECA_Input!$F$13="ICAO (3000ft)",'Aircraft Calc'!E$211,'Aircraft Calc'!I$211)</f>
        <v>4</v>
      </c>
      <c r="J630" s="189">
        <v>1</v>
      </c>
      <c r="K630" s="187">
        <f t="shared" si="157"/>
        <v>305.64</v>
      </c>
      <c r="L630" s="187">
        <f t="shared" si="158"/>
        <v>3.06318</v>
      </c>
      <c r="M630" s="187">
        <f t="shared" si="159"/>
        <v>0.28797600000000001</v>
      </c>
      <c r="N630" s="187">
        <f t="shared" si="160"/>
        <v>2.5362</v>
      </c>
      <c r="O630" s="187">
        <f t="shared" si="161"/>
        <v>0.21659874955023298</v>
      </c>
      <c r="P630" s="188">
        <f t="shared" si="162"/>
        <v>4.1254347028708966E+18</v>
      </c>
      <c r="Q630" s="187">
        <f t="shared" si="163"/>
        <v>12420</v>
      </c>
      <c r="R630" s="219">
        <f t="shared" si="164"/>
        <v>36.018000000000001</v>
      </c>
      <c r="S630" s="219">
        <f t="shared" si="165"/>
        <v>157.73400000000001</v>
      </c>
      <c r="T630" s="219">
        <f t="shared" si="166"/>
        <v>965.03399999999999</v>
      </c>
      <c r="U630" s="219">
        <f t="shared" si="167"/>
        <v>5.9581337121629154</v>
      </c>
      <c r="V630" s="188">
        <f t="shared" si="168"/>
        <v>2.2084393707191267E+17</v>
      </c>
      <c r="W630" s="323">
        <v>1.42</v>
      </c>
      <c r="X630" s="323">
        <v>1.1000000000000001</v>
      </c>
      <c r="Y630" s="323">
        <v>0.42</v>
      </c>
      <c r="Z630" s="323">
        <v>0.20699999999999999</v>
      </c>
      <c r="AA630" s="323">
        <v>14.5</v>
      </c>
      <c r="AB630" s="323">
        <v>11.6</v>
      </c>
      <c r="AC630" s="323">
        <v>5.1000000000000005</v>
      </c>
      <c r="AD630" s="323">
        <v>2.9</v>
      </c>
      <c r="AE630" s="323">
        <v>0.4</v>
      </c>
      <c r="AF630" s="323">
        <v>0.5</v>
      </c>
      <c r="AG630" s="323">
        <v>1.9000000000000001</v>
      </c>
      <c r="AH630" s="323">
        <v>12.700000000000001</v>
      </c>
      <c r="AI630" s="323">
        <v>3</v>
      </c>
      <c r="AJ630" s="323">
        <v>3.6</v>
      </c>
      <c r="AK630" s="323">
        <v>18.2</v>
      </c>
      <c r="AL630" s="323">
        <v>77.7</v>
      </c>
      <c r="AM630" s="323">
        <v>0.51432434863986987</v>
      </c>
      <c r="AN630" s="323">
        <v>0.58244750710975313</v>
      </c>
      <c r="AO630" s="323">
        <v>0.66820330322435517</v>
      </c>
      <c r="AP630" s="323">
        <v>0.35240191080216715</v>
      </c>
      <c r="AQ630" s="323">
        <v>0.6092843486398698</v>
      </c>
      <c r="AR630" s="323">
        <v>0.66940750710975305</v>
      </c>
      <c r="AS630" s="323">
        <v>0.82403830322435501</v>
      </c>
      <c r="AT630" s="323">
        <v>0.47972091080216711</v>
      </c>
      <c r="AU630" s="190">
        <v>3243939367456701.5</v>
      </c>
      <c r="AV630" s="190">
        <v>3673604803635927</v>
      </c>
      <c r="AW630" s="190">
        <v>3.3715860530831768E+16</v>
      </c>
      <c r="AX630" s="190">
        <v>1.778131538421197E+16</v>
      </c>
      <c r="AY630" s="203">
        <v>10.8</v>
      </c>
      <c r="AZ630" s="239">
        <v>107.5</v>
      </c>
      <c r="BA630" s="203">
        <v>1989</v>
      </c>
      <c r="BB630" s="204">
        <v>35684</v>
      </c>
      <c r="BC630" s="203" t="s">
        <v>3102</v>
      </c>
    </row>
    <row r="631" spans="1:55" x14ac:dyDescent="0.2">
      <c r="A631" s="184" t="s">
        <v>686</v>
      </c>
      <c r="B631" s="184" t="s">
        <v>2423</v>
      </c>
      <c r="C631" s="184" t="s">
        <v>1886</v>
      </c>
      <c r="D631" s="185" t="s">
        <v>1043</v>
      </c>
      <c r="E631" s="184" t="s">
        <v>321</v>
      </c>
      <c r="F631" s="184" t="s">
        <v>2424</v>
      </c>
      <c r="G631" s="186">
        <f>IF(ALECA_Input!$F$13="ICAO (3000ft)",'Aircraft Calc'!C$211,'Aircraft Calc'!G$211)</f>
        <v>0.7</v>
      </c>
      <c r="H631" s="186">
        <f>IF(ALECA_Input!$F$13="ICAO (3000ft)",'Aircraft Calc'!D$211,'Aircraft Calc'!H$211)</f>
        <v>2.2000000000000002</v>
      </c>
      <c r="I631" s="186">
        <f>IF(ALECA_Input!$F$13="ICAO (3000ft)",'Aircraft Calc'!E$211,'Aircraft Calc'!I$211)</f>
        <v>4</v>
      </c>
      <c r="J631" s="189">
        <v>1</v>
      </c>
      <c r="K631" s="187">
        <f t="shared" si="157"/>
        <v>379.29</v>
      </c>
      <c r="L631" s="187">
        <f t="shared" si="158"/>
        <v>10.037352</v>
      </c>
      <c r="M631" s="187">
        <f t="shared" si="159"/>
        <v>5.4903600000000004E-2</v>
      </c>
      <c r="N631" s="187">
        <f t="shared" si="160"/>
        <v>0.20674410000000001</v>
      </c>
      <c r="O631" s="187">
        <f t="shared" si="161"/>
        <v>5.7395067313843154E-2</v>
      </c>
      <c r="P631" s="188">
        <f t="shared" si="162"/>
        <v>8.0449361948202253E+17</v>
      </c>
      <c r="Q631" s="187">
        <f t="shared" si="163"/>
        <v>10680</v>
      </c>
      <c r="R631" s="219">
        <f t="shared" si="164"/>
        <v>61.943999999999996</v>
      </c>
      <c r="S631" s="219">
        <f t="shared" si="165"/>
        <v>3.2039999999999997</v>
      </c>
      <c r="T631" s="219">
        <f t="shared" si="166"/>
        <v>73.692000000000007</v>
      </c>
      <c r="U631" s="219">
        <f t="shared" si="167"/>
        <v>1.2336771485344002</v>
      </c>
      <c r="V631" s="188">
        <f t="shared" si="168"/>
        <v>3.486691519257984E+16</v>
      </c>
      <c r="W631" s="323">
        <v>1.7390000000000001</v>
      </c>
      <c r="X631" s="323">
        <v>1.431</v>
      </c>
      <c r="Y631" s="323">
        <v>0.48899999999999999</v>
      </c>
      <c r="Z631" s="323">
        <v>0.17799999999999999</v>
      </c>
      <c r="AA631" s="323">
        <v>37</v>
      </c>
      <c r="AB631" s="323">
        <v>31.5</v>
      </c>
      <c r="AC631" s="323">
        <v>11.8</v>
      </c>
      <c r="AD631" s="323">
        <v>5.8</v>
      </c>
      <c r="AE631" s="323">
        <v>0.12</v>
      </c>
      <c r="AF631" s="323">
        <v>0.12</v>
      </c>
      <c r="AG631" s="323">
        <v>0.2</v>
      </c>
      <c r="AH631" s="323">
        <v>0.3</v>
      </c>
      <c r="AI631" s="323">
        <v>0.35000000000000003</v>
      </c>
      <c r="AJ631" s="323">
        <v>0.4</v>
      </c>
      <c r="AK631" s="323">
        <v>0.9</v>
      </c>
      <c r="AL631" s="323">
        <v>6.9</v>
      </c>
      <c r="AM631" s="323">
        <v>7.5094445562812487E-2</v>
      </c>
      <c r="AN631" s="323">
        <v>8.4891843453934024E-2</v>
      </c>
      <c r="AO631" s="323">
        <v>0.11293431548334994</v>
      </c>
      <c r="AP631" s="323">
        <v>6.4701841623071174E-2</v>
      </c>
      <c r="AQ631" s="323">
        <v>0.13785444556281246</v>
      </c>
      <c r="AR631" s="323">
        <v>0.14297184345393404</v>
      </c>
      <c r="AS631" s="323">
        <v>0.17314431548334991</v>
      </c>
      <c r="AT631" s="323">
        <v>0.11551284162307118</v>
      </c>
      <c r="AU631" s="190">
        <v>473634641025155.38</v>
      </c>
      <c r="AV631" s="190">
        <v>535428652531113.25</v>
      </c>
      <c r="AW631" s="190">
        <v>5698381931977848</v>
      </c>
      <c r="AX631" s="190">
        <v>3264692433762157.5</v>
      </c>
      <c r="AY631" s="203">
        <v>11.6</v>
      </c>
      <c r="AZ631" s="239">
        <v>156.9</v>
      </c>
      <c r="BA631" s="203">
        <v>1989</v>
      </c>
      <c r="BB631" s="204">
        <v>35684</v>
      </c>
      <c r="BC631" s="203" t="s">
        <v>3102</v>
      </c>
    </row>
    <row r="632" spans="1:55" x14ac:dyDescent="0.2">
      <c r="A632" s="184" t="s">
        <v>711</v>
      </c>
      <c r="B632" s="184" t="s">
        <v>2425</v>
      </c>
      <c r="C632" s="184" t="s">
        <v>1886</v>
      </c>
      <c r="D632" s="185" t="s">
        <v>1043</v>
      </c>
      <c r="E632" s="184" t="s">
        <v>2426</v>
      </c>
      <c r="F632" s="184" t="s">
        <v>2426</v>
      </c>
      <c r="G632" s="186">
        <f>IF(ALECA_Input!$F$13="ICAO (3000ft)",'Aircraft Calc'!C$211,'Aircraft Calc'!G$211)</f>
        <v>0.7</v>
      </c>
      <c r="H632" s="186">
        <f>IF(ALECA_Input!$F$13="ICAO (3000ft)",'Aircraft Calc'!D$211,'Aircraft Calc'!H$211)</f>
        <v>2.2000000000000002</v>
      </c>
      <c r="I632" s="186">
        <f>IF(ALECA_Input!$F$13="ICAO (3000ft)",'Aircraft Calc'!E$211,'Aircraft Calc'!I$211)</f>
        <v>4</v>
      </c>
      <c r="J632" s="189">
        <v>1</v>
      </c>
      <c r="K632" s="187">
        <f t="shared" si="157"/>
        <v>376.11600000000004</v>
      </c>
      <c r="L632" s="187">
        <f t="shared" si="158"/>
        <v>8.5116255600000006</v>
      </c>
      <c r="M632" s="187">
        <f t="shared" si="159"/>
        <v>4.5286800000000009E-2</v>
      </c>
      <c r="N632" s="187">
        <f t="shared" si="160"/>
        <v>0.23476344000000002</v>
      </c>
      <c r="O632" s="187">
        <f t="shared" si="161"/>
        <v>6.4296783249188028E-2</v>
      </c>
      <c r="P632" s="188">
        <f t="shared" si="162"/>
        <v>1.0529838651387443E+18</v>
      </c>
      <c r="Q632" s="187">
        <f t="shared" si="163"/>
        <v>10440</v>
      </c>
      <c r="R632" s="219">
        <f t="shared" si="164"/>
        <v>51.364799999999995</v>
      </c>
      <c r="S632" s="219">
        <f t="shared" si="165"/>
        <v>7.516799999999999</v>
      </c>
      <c r="T632" s="219">
        <f t="shared" si="166"/>
        <v>134.78039999999999</v>
      </c>
      <c r="U632" s="219">
        <f t="shared" si="167"/>
        <v>0.61650277895577332</v>
      </c>
      <c r="V632" s="188">
        <f t="shared" si="168"/>
        <v>2976069611522580</v>
      </c>
      <c r="W632" s="323">
        <v>1.6539999999999999</v>
      </c>
      <c r="X632" s="323">
        <v>1.3540000000000001</v>
      </c>
      <c r="Y632" s="323">
        <v>0.53300000000000003</v>
      </c>
      <c r="Z632" s="323">
        <v>0.17399999999999999</v>
      </c>
      <c r="AA632" s="323">
        <v>35.69</v>
      </c>
      <c r="AB632" s="323">
        <v>26.68</v>
      </c>
      <c r="AC632" s="323">
        <v>9.8800000000000008</v>
      </c>
      <c r="AD632" s="323">
        <v>4.92</v>
      </c>
      <c r="AE632" s="323">
        <v>0.1</v>
      </c>
      <c r="AF632" s="323">
        <v>0.1</v>
      </c>
      <c r="AG632" s="323">
        <v>0.16</v>
      </c>
      <c r="AH632" s="323">
        <v>0.72</v>
      </c>
      <c r="AI632" s="323">
        <v>0.38</v>
      </c>
      <c r="AJ632" s="323">
        <v>0.4</v>
      </c>
      <c r="AK632" s="323">
        <v>1.07</v>
      </c>
      <c r="AL632" s="323">
        <v>12.91</v>
      </c>
      <c r="AM632" s="323">
        <v>8.1538537566964372E-2</v>
      </c>
      <c r="AN632" s="323">
        <v>0.10709737180862432</v>
      </c>
      <c r="AO632" s="323">
        <v>0.13889955357156292</v>
      </c>
      <c r="AP632" s="323">
        <v>5.6495903214342259E-3</v>
      </c>
      <c r="AQ632" s="323">
        <v>0.14199853756696437</v>
      </c>
      <c r="AR632" s="323">
        <v>0.16365737180862433</v>
      </c>
      <c r="AS632" s="323">
        <v>0.19685955357156293</v>
      </c>
      <c r="AT632" s="323">
        <v>5.9051990321434225E-2</v>
      </c>
      <c r="AU632" s="190">
        <v>514278728350716.56</v>
      </c>
      <c r="AV632" s="190">
        <v>675483051657750.13</v>
      </c>
      <c r="AW632" s="190">
        <v>7008522635873908</v>
      </c>
      <c r="AX632" s="190">
        <v>285064139034729.88</v>
      </c>
      <c r="AY632" s="203">
        <v>9.8000000000000007</v>
      </c>
      <c r="AZ632" s="239">
        <v>169.7</v>
      </c>
      <c r="BA632" s="203">
        <v>2007</v>
      </c>
      <c r="BB632" s="204">
        <v>41576</v>
      </c>
      <c r="BC632" s="203" t="s">
        <v>3214</v>
      </c>
    </row>
    <row r="633" spans="1:55" x14ac:dyDescent="0.2">
      <c r="A633" s="184" t="s">
        <v>711</v>
      </c>
      <c r="B633" s="184" t="s">
        <v>2427</v>
      </c>
      <c r="C633" s="184" t="s">
        <v>1886</v>
      </c>
      <c r="D633" s="185" t="s">
        <v>1043</v>
      </c>
      <c r="E633" s="184" t="s">
        <v>2428</v>
      </c>
      <c r="F633" s="184" t="s">
        <v>2428</v>
      </c>
      <c r="G633" s="186">
        <f>IF(ALECA_Input!$F$13="ICAO (3000ft)",'Aircraft Calc'!C$211,'Aircraft Calc'!G$211)</f>
        <v>0.7</v>
      </c>
      <c r="H633" s="186">
        <f>IF(ALECA_Input!$F$13="ICAO (3000ft)",'Aircraft Calc'!D$211,'Aircraft Calc'!H$211)</f>
        <v>2.2000000000000002</v>
      </c>
      <c r="I633" s="186">
        <f>IF(ALECA_Input!$F$13="ICAO (3000ft)",'Aircraft Calc'!E$211,'Aircraft Calc'!I$211)</f>
        <v>4</v>
      </c>
      <c r="J633" s="189">
        <v>1</v>
      </c>
      <c r="K633" s="187">
        <f t="shared" si="157"/>
        <v>323.24400000000003</v>
      </c>
      <c r="L633" s="187">
        <f t="shared" si="158"/>
        <v>6.75457368</v>
      </c>
      <c r="M633" s="187">
        <f t="shared" si="159"/>
        <v>5.1764160000000004E-2</v>
      </c>
      <c r="N633" s="187">
        <f t="shared" si="160"/>
        <v>0.34641539999999998</v>
      </c>
      <c r="O633" s="187">
        <f t="shared" si="161"/>
        <v>5.5839613046588014E-2</v>
      </c>
      <c r="P633" s="188">
        <f t="shared" si="162"/>
        <v>8.9717309277162483E+17</v>
      </c>
      <c r="Q633" s="187">
        <f t="shared" si="163"/>
        <v>10260.000000000002</v>
      </c>
      <c r="R633" s="219">
        <f t="shared" si="164"/>
        <v>44.118000000000002</v>
      </c>
      <c r="S633" s="219">
        <f t="shared" si="165"/>
        <v>29.548800000000004</v>
      </c>
      <c r="T633" s="219">
        <f t="shared" si="166"/>
        <v>172.26540000000003</v>
      </c>
      <c r="U633" s="219">
        <f t="shared" si="167"/>
        <v>0.7879862481574047</v>
      </c>
      <c r="V633" s="188">
        <f t="shared" si="168"/>
        <v>5214304728673782</v>
      </c>
      <c r="W633" s="323">
        <v>1.38</v>
      </c>
      <c r="X633" s="323">
        <v>1.117</v>
      </c>
      <c r="Y633" s="323">
        <v>0.49099999999999999</v>
      </c>
      <c r="Z633" s="323">
        <v>0.17100000000000001</v>
      </c>
      <c r="AA633" s="323">
        <v>32.69</v>
      </c>
      <c r="AB633" s="323">
        <v>25.52</v>
      </c>
      <c r="AC633" s="323">
        <v>9.31</v>
      </c>
      <c r="AD633" s="323">
        <v>4.3</v>
      </c>
      <c r="AE633" s="323">
        <v>0.11</v>
      </c>
      <c r="AF633" s="323">
        <v>0.14000000000000001</v>
      </c>
      <c r="AG633" s="323">
        <v>0.21</v>
      </c>
      <c r="AH633" s="323">
        <v>2.88</v>
      </c>
      <c r="AI633" s="323">
        <v>0.44</v>
      </c>
      <c r="AJ633" s="323">
        <v>0.65</v>
      </c>
      <c r="AK633" s="323">
        <v>1.91</v>
      </c>
      <c r="AL633" s="323">
        <v>16.79</v>
      </c>
      <c r="AM633" s="323">
        <v>9.0224356393703325E-2</v>
      </c>
      <c r="AN633" s="323">
        <v>0.10822978643573851</v>
      </c>
      <c r="AO633" s="323">
        <v>0.12841452239288811</v>
      </c>
      <c r="AP633" s="323">
        <v>1.0072178572846443E-2</v>
      </c>
      <c r="AQ633" s="323">
        <v>0.15183435639370335</v>
      </c>
      <c r="AR633" s="323">
        <v>0.16782978643573854</v>
      </c>
      <c r="AS633" s="323">
        <v>0.18918702239288809</v>
      </c>
      <c r="AT633" s="323">
        <v>7.6801778572846452E-2</v>
      </c>
      <c r="AU633" s="190">
        <v>569061803865549.13</v>
      </c>
      <c r="AV633" s="190">
        <v>682625401419907.13</v>
      </c>
      <c r="AW633" s="190">
        <v>6479474295083340</v>
      </c>
      <c r="AX633" s="190">
        <v>508216835153390</v>
      </c>
      <c r="AY633" s="203">
        <v>7.9</v>
      </c>
      <c r="AZ633" s="239">
        <v>156.94999999999999</v>
      </c>
      <c r="BA633" s="203">
        <v>2006</v>
      </c>
      <c r="BB633" s="204">
        <v>41576</v>
      </c>
      <c r="BC633" s="203" t="s">
        <v>3215</v>
      </c>
    </row>
    <row r="634" spans="1:55" x14ac:dyDescent="0.2">
      <c r="A634" s="184" t="s">
        <v>2430</v>
      </c>
      <c r="B634" s="184" t="s">
        <v>2429</v>
      </c>
      <c r="C634" s="184" t="s">
        <v>1886</v>
      </c>
      <c r="D634" s="185" t="s">
        <v>1043</v>
      </c>
      <c r="E634" s="184" t="s">
        <v>321</v>
      </c>
      <c r="F634" s="184" t="s">
        <v>321</v>
      </c>
      <c r="G634" s="186">
        <f>IF(ALECA_Input!$F$13="ICAO (3000ft)",'Aircraft Calc'!C$211,'Aircraft Calc'!G$211)</f>
        <v>0.7</v>
      </c>
      <c r="H634" s="186">
        <f>IF(ALECA_Input!$F$13="ICAO (3000ft)",'Aircraft Calc'!D$211,'Aircraft Calc'!H$211)</f>
        <v>2.2000000000000002</v>
      </c>
      <c r="I634" s="186">
        <f>IF(ALECA_Input!$F$13="ICAO (3000ft)",'Aircraft Calc'!E$211,'Aircraft Calc'!I$211)</f>
        <v>4</v>
      </c>
      <c r="J634" s="189">
        <v>1</v>
      </c>
      <c r="K634" s="187">
        <f t="shared" si="157"/>
        <v>355.81200000000001</v>
      </c>
      <c r="L634" s="187">
        <f t="shared" si="158"/>
        <v>7.0013905200000002</v>
      </c>
      <c r="M634" s="187">
        <f t="shared" si="159"/>
        <v>0.12526764000000001</v>
      </c>
      <c r="N634" s="187">
        <f t="shared" si="160"/>
        <v>0.24952163999999999</v>
      </c>
      <c r="O634" s="187">
        <f t="shared" si="161"/>
        <v>4.6395869360169713E-2</v>
      </c>
      <c r="P634" s="188">
        <f t="shared" si="162"/>
        <v>5.0551318255439002E+17</v>
      </c>
      <c r="Q634" s="187">
        <f t="shared" si="163"/>
        <v>10080</v>
      </c>
      <c r="R634" s="219">
        <f t="shared" si="164"/>
        <v>49.593600000000002</v>
      </c>
      <c r="S634" s="219">
        <f t="shared" si="165"/>
        <v>13.3056</v>
      </c>
      <c r="T634" s="219">
        <f t="shared" si="166"/>
        <v>153.01439999999999</v>
      </c>
      <c r="U634" s="219">
        <f t="shared" si="167"/>
        <v>0.61657842417478659</v>
      </c>
      <c r="V634" s="188">
        <f t="shared" si="168"/>
        <v>2067045118268945.5</v>
      </c>
      <c r="W634" s="323">
        <v>1.532</v>
      </c>
      <c r="X634" s="323">
        <v>1.2789999999999999</v>
      </c>
      <c r="Y634" s="323">
        <v>0.51100000000000001</v>
      </c>
      <c r="Z634" s="323">
        <v>0.16800000000000001</v>
      </c>
      <c r="AA634" s="323">
        <v>30.52</v>
      </c>
      <c r="AB634" s="323">
        <v>23.33</v>
      </c>
      <c r="AC634" s="323">
        <v>8.9600000000000009</v>
      </c>
      <c r="AD634" s="323">
        <v>4.92</v>
      </c>
      <c r="AE634" s="323">
        <v>0.1</v>
      </c>
      <c r="AF634" s="323">
        <v>0.13</v>
      </c>
      <c r="AG634" s="323">
        <v>0.79</v>
      </c>
      <c r="AH634" s="323">
        <v>1.32</v>
      </c>
      <c r="AI634" s="323">
        <v>0.41</v>
      </c>
      <c r="AJ634" s="323">
        <v>0.45</v>
      </c>
      <c r="AK634" s="323">
        <v>1.2</v>
      </c>
      <c r="AL634" s="323">
        <v>15.18</v>
      </c>
      <c r="AM634" s="323">
        <v>4.6413917125851537E-2</v>
      </c>
      <c r="AN634" s="323">
        <v>5.7443257286387231E-2</v>
      </c>
      <c r="AO634" s="323">
        <v>6.8762515292545165E-2</v>
      </c>
      <c r="AP634" s="323">
        <v>4.0640944617843684E-3</v>
      </c>
      <c r="AQ634" s="323">
        <v>0.10687391712585154</v>
      </c>
      <c r="AR634" s="323">
        <v>0.11628325728638722</v>
      </c>
      <c r="AS634" s="323">
        <v>0.1621600152925452</v>
      </c>
      <c r="AT634" s="323">
        <v>6.1168494461784378E-2</v>
      </c>
      <c r="AU634" s="190">
        <v>292741211573180.94</v>
      </c>
      <c r="AV634" s="190">
        <v>362305312200439.13</v>
      </c>
      <c r="AW634" s="190">
        <v>3469583829001545.5</v>
      </c>
      <c r="AX634" s="190">
        <v>205063999828268.41</v>
      </c>
      <c r="AY634" s="203">
        <v>8.3000000000000007</v>
      </c>
      <c r="AZ634" s="239">
        <v>154.6</v>
      </c>
      <c r="BA634" s="203">
        <v>2007</v>
      </c>
      <c r="BB634" s="204">
        <v>41943</v>
      </c>
      <c r="BC634" s="203" t="s">
        <v>2431</v>
      </c>
    </row>
    <row r="635" spans="1:55" x14ac:dyDescent="0.2">
      <c r="A635" s="184" t="s">
        <v>2433</v>
      </c>
      <c r="B635" s="184" t="s">
        <v>2432</v>
      </c>
      <c r="C635" s="184" t="s">
        <v>1886</v>
      </c>
      <c r="D635" s="185" t="s">
        <v>1043</v>
      </c>
      <c r="E635" s="184" t="s">
        <v>2426</v>
      </c>
      <c r="F635" s="184" t="s">
        <v>2426</v>
      </c>
      <c r="G635" s="186">
        <f>IF(ALECA_Input!$F$13="ICAO (3000ft)",'Aircraft Calc'!C$211,'Aircraft Calc'!G$211)</f>
        <v>0.7</v>
      </c>
      <c r="H635" s="186">
        <f>IF(ALECA_Input!$F$13="ICAO (3000ft)",'Aircraft Calc'!D$211,'Aircraft Calc'!H$211)</f>
        <v>2.2000000000000002</v>
      </c>
      <c r="I635" s="186">
        <f>IF(ALECA_Input!$F$13="ICAO (3000ft)",'Aircraft Calc'!E$211,'Aircraft Calc'!I$211)</f>
        <v>4</v>
      </c>
      <c r="J635" s="189">
        <v>1</v>
      </c>
      <c r="K635" s="187">
        <f t="shared" si="157"/>
        <v>376.11600000000004</v>
      </c>
      <c r="L635" s="187">
        <f t="shared" si="158"/>
        <v>8.5116255600000006</v>
      </c>
      <c r="M635" s="187">
        <f t="shared" si="159"/>
        <v>4.5286800000000009E-2</v>
      </c>
      <c r="N635" s="187">
        <f t="shared" si="160"/>
        <v>0.23476344000000002</v>
      </c>
      <c r="O635" s="187">
        <f t="shared" si="161"/>
        <v>6.4160673653415781E-2</v>
      </c>
      <c r="P635" s="188">
        <f t="shared" si="162"/>
        <v>1.0521253965922292E+18</v>
      </c>
      <c r="Q635" s="187">
        <f t="shared" si="163"/>
        <v>10440</v>
      </c>
      <c r="R635" s="219">
        <f t="shared" si="164"/>
        <v>51.364799999999995</v>
      </c>
      <c r="S635" s="219">
        <f t="shared" si="165"/>
        <v>7.516799999999999</v>
      </c>
      <c r="T635" s="219">
        <f t="shared" si="166"/>
        <v>134.78039999999999</v>
      </c>
      <c r="U635" s="219">
        <f t="shared" si="167"/>
        <v>0.61650277895577332</v>
      </c>
      <c r="V635" s="188">
        <f t="shared" si="168"/>
        <v>2976069611522580</v>
      </c>
      <c r="W635" s="323">
        <v>1.6539999999999999</v>
      </c>
      <c r="X635" s="323">
        <v>1.3540000000000001</v>
      </c>
      <c r="Y635" s="323">
        <v>0.53300000000000003</v>
      </c>
      <c r="Z635" s="323">
        <v>0.17399999999999999</v>
      </c>
      <c r="AA635" s="323">
        <v>35.69</v>
      </c>
      <c r="AB635" s="323">
        <v>26.68</v>
      </c>
      <c r="AC635" s="323">
        <v>9.8800000000000008</v>
      </c>
      <c r="AD635" s="323">
        <v>4.92</v>
      </c>
      <c r="AE635" s="323">
        <v>0.1</v>
      </c>
      <c r="AF635" s="323">
        <v>0.1</v>
      </c>
      <c r="AG635" s="323">
        <v>0.16</v>
      </c>
      <c r="AH635" s="323">
        <v>0.72</v>
      </c>
      <c r="AI635" s="323">
        <v>0.38</v>
      </c>
      <c r="AJ635" s="323">
        <v>0.4</v>
      </c>
      <c r="AK635" s="323">
        <v>1.07</v>
      </c>
      <c r="AL635" s="323">
        <v>12.91</v>
      </c>
      <c r="AM635" s="323">
        <v>8.1538537566964372E-2</v>
      </c>
      <c r="AN635" s="323">
        <v>0.10633582579584386</v>
      </c>
      <c r="AO635" s="323">
        <v>0.13889955357156292</v>
      </c>
      <c r="AP635" s="323">
        <v>5.6495903214342259E-3</v>
      </c>
      <c r="AQ635" s="323">
        <v>0.14199853756696437</v>
      </c>
      <c r="AR635" s="323">
        <v>0.16289582579584383</v>
      </c>
      <c r="AS635" s="323">
        <v>0.19685955357156293</v>
      </c>
      <c r="AT635" s="323">
        <v>5.9051990321434225E-2</v>
      </c>
      <c r="AU635" s="190">
        <v>514278728350716.56</v>
      </c>
      <c r="AV635" s="190">
        <v>670679839253901.75</v>
      </c>
      <c r="AW635" s="190">
        <v>7008522635873908</v>
      </c>
      <c r="AX635" s="190">
        <v>285064139034729.88</v>
      </c>
      <c r="AY635" s="203">
        <v>9.8000000000000007</v>
      </c>
      <c r="AZ635" s="239">
        <v>169.7</v>
      </c>
      <c r="BA635" s="203">
        <v>2007</v>
      </c>
      <c r="BB635" s="204">
        <v>41943</v>
      </c>
      <c r="BC635" s="203" t="s">
        <v>2434</v>
      </c>
    </row>
    <row r="636" spans="1:55" x14ac:dyDescent="0.2">
      <c r="A636" s="184" t="s">
        <v>2436</v>
      </c>
      <c r="B636" s="184" t="s">
        <v>2435</v>
      </c>
      <c r="C636" s="184" t="s">
        <v>1886</v>
      </c>
      <c r="D636" s="185" t="s">
        <v>1043</v>
      </c>
      <c r="E636" s="184" t="s">
        <v>2428</v>
      </c>
      <c r="F636" s="184" t="s">
        <v>2428</v>
      </c>
      <c r="G636" s="186">
        <f>IF(ALECA_Input!$F$13="ICAO (3000ft)",'Aircraft Calc'!C$211,'Aircraft Calc'!G$211)</f>
        <v>0.7</v>
      </c>
      <c r="H636" s="186">
        <f>IF(ALECA_Input!$F$13="ICAO (3000ft)",'Aircraft Calc'!D$211,'Aircraft Calc'!H$211)</f>
        <v>2.2000000000000002</v>
      </c>
      <c r="I636" s="186">
        <f>IF(ALECA_Input!$F$13="ICAO (3000ft)",'Aircraft Calc'!E$211,'Aircraft Calc'!I$211)</f>
        <v>4</v>
      </c>
      <c r="J636" s="189">
        <v>1</v>
      </c>
      <c r="K636" s="187">
        <f t="shared" si="157"/>
        <v>323.24400000000003</v>
      </c>
      <c r="L636" s="187">
        <f t="shared" si="158"/>
        <v>6.75515328</v>
      </c>
      <c r="M636" s="187">
        <f t="shared" si="159"/>
        <v>5.1764160000000004E-2</v>
      </c>
      <c r="N636" s="187">
        <f t="shared" si="160"/>
        <v>0.34641539999999998</v>
      </c>
      <c r="O636" s="187">
        <f t="shared" si="161"/>
        <v>5.5839613046588014E-2</v>
      </c>
      <c r="P636" s="188">
        <f t="shared" si="162"/>
        <v>8.9717309277162483E+17</v>
      </c>
      <c r="Q636" s="187">
        <f t="shared" si="163"/>
        <v>10260.000000000002</v>
      </c>
      <c r="R636" s="219">
        <f t="shared" si="164"/>
        <v>44.118000000000002</v>
      </c>
      <c r="S636" s="219">
        <f t="shared" si="165"/>
        <v>29.548800000000004</v>
      </c>
      <c r="T636" s="219">
        <f t="shared" si="166"/>
        <v>172.26540000000003</v>
      </c>
      <c r="U636" s="219">
        <f t="shared" si="167"/>
        <v>0.7879862481574047</v>
      </c>
      <c r="V636" s="188">
        <f t="shared" si="168"/>
        <v>5214304728673782</v>
      </c>
      <c r="W636" s="323">
        <v>1.38</v>
      </c>
      <c r="X636" s="323">
        <v>1.117</v>
      </c>
      <c r="Y636" s="323">
        <v>0.49099999999999999</v>
      </c>
      <c r="Z636" s="323">
        <v>0.17100000000000001</v>
      </c>
      <c r="AA636" s="323">
        <v>32.700000000000003</v>
      </c>
      <c r="AB636" s="323">
        <v>25.52</v>
      </c>
      <c r="AC636" s="323">
        <v>9.31</v>
      </c>
      <c r="AD636" s="323">
        <v>4.3</v>
      </c>
      <c r="AE636" s="323">
        <v>0.11</v>
      </c>
      <c r="AF636" s="323">
        <v>0.14000000000000001</v>
      </c>
      <c r="AG636" s="323">
        <v>0.21</v>
      </c>
      <c r="AH636" s="323">
        <v>2.88</v>
      </c>
      <c r="AI636" s="323">
        <v>0.44</v>
      </c>
      <c r="AJ636" s="323">
        <v>0.65</v>
      </c>
      <c r="AK636" s="323">
        <v>1.91</v>
      </c>
      <c r="AL636" s="323">
        <v>16.79</v>
      </c>
      <c r="AM636" s="323">
        <v>9.0224356393703325E-2</v>
      </c>
      <c r="AN636" s="323">
        <v>0.10822978643573851</v>
      </c>
      <c r="AO636" s="323">
        <v>0.12841452239288811</v>
      </c>
      <c r="AP636" s="323">
        <v>1.0072178572846443E-2</v>
      </c>
      <c r="AQ636" s="323">
        <v>0.15183435639370335</v>
      </c>
      <c r="AR636" s="323">
        <v>0.16782978643573854</v>
      </c>
      <c r="AS636" s="323">
        <v>0.18918702239288809</v>
      </c>
      <c r="AT636" s="323">
        <v>7.6801778572846452E-2</v>
      </c>
      <c r="AU636" s="190">
        <v>569061803865549.13</v>
      </c>
      <c r="AV636" s="190">
        <v>682625401419907.13</v>
      </c>
      <c r="AW636" s="190">
        <v>6479474295083340</v>
      </c>
      <c r="AX636" s="190">
        <v>508216835153390</v>
      </c>
      <c r="AY636" s="203">
        <v>7.9</v>
      </c>
      <c r="AZ636" s="239">
        <v>156.94999999999999</v>
      </c>
      <c r="BA636" s="203">
        <v>2006</v>
      </c>
      <c r="BB636" s="204">
        <v>41943</v>
      </c>
      <c r="BC636" s="203" t="s">
        <v>2431</v>
      </c>
    </row>
    <row r="637" spans="1:55" x14ac:dyDescent="0.2">
      <c r="A637" s="184" t="s">
        <v>711</v>
      </c>
      <c r="B637" s="184" t="s">
        <v>2437</v>
      </c>
      <c r="C637" s="184" t="s">
        <v>2439</v>
      </c>
      <c r="D637" s="185" t="s">
        <v>1043</v>
      </c>
      <c r="E637" s="184" t="s">
        <v>2438</v>
      </c>
      <c r="F637" s="184" t="s">
        <v>2438</v>
      </c>
      <c r="G637" s="186">
        <f>IF(ALECA_Input!$F$13="ICAO (3000ft)",'Aircraft Calc'!C$211,'Aircraft Calc'!G$211)</f>
        <v>0.7</v>
      </c>
      <c r="H637" s="186">
        <f>IF(ALECA_Input!$F$13="ICAO (3000ft)",'Aircraft Calc'!D$211,'Aircraft Calc'!H$211)</f>
        <v>2.2000000000000002</v>
      </c>
      <c r="I637" s="186">
        <f>IF(ALECA_Input!$F$13="ICAO (3000ft)",'Aircraft Calc'!E$211,'Aircraft Calc'!I$211)</f>
        <v>4</v>
      </c>
      <c r="J637" s="189">
        <v>1</v>
      </c>
      <c r="K637" s="187">
        <f t="shared" si="157"/>
        <v>328.94400000000002</v>
      </c>
      <c r="L637" s="187">
        <f t="shared" si="158"/>
        <v>2.8501507200000002</v>
      </c>
      <c r="M637" s="187">
        <f t="shared" si="159"/>
        <v>0.99790560000000006</v>
      </c>
      <c r="N637" s="187">
        <f t="shared" si="160"/>
        <v>3.1612560000000003</v>
      </c>
      <c r="O637" s="187">
        <f t="shared" si="161"/>
        <v>0.11908169115561063</v>
      </c>
      <c r="P637" s="188">
        <f t="shared" si="162"/>
        <v>4.4595900330316058E+17</v>
      </c>
      <c r="Q637" s="187">
        <f t="shared" si="163"/>
        <v>10416</v>
      </c>
      <c r="R637" s="219">
        <f t="shared" si="164"/>
        <v>25.935840000000002</v>
      </c>
      <c r="S637" s="219">
        <f t="shared" si="165"/>
        <v>624.96</v>
      </c>
      <c r="T637" s="219">
        <f t="shared" si="166"/>
        <v>1020.14304</v>
      </c>
      <c r="U637" s="219">
        <f t="shared" si="167"/>
        <v>5.1635887605794055</v>
      </c>
      <c r="V637" s="188">
        <f t="shared" si="168"/>
        <v>4.0245811234128048E+16</v>
      </c>
      <c r="W637" s="323">
        <v>1.512</v>
      </c>
      <c r="X637" s="323">
        <v>1.2</v>
      </c>
      <c r="Y637" s="323">
        <v>0.44600000000000001</v>
      </c>
      <c r="Z637" s="323">
        <v>0.1736</v>
      </c>
      <c r="AA637" s="323">
        <v>12.08</v>
      </c>
      <c r="AB637" s="323">
        <v>9.9</v>
      </c>
      <c r="AC637" s="323">
        <v>4.8100000000000005</v>
      </c>
      <c r="AD637" s="323">
        <v>2.4900000000000002</v>
      </c>
      <c r="AE637" s="323">
        <v>4</v>
      </c>
      <c r="AF637" s="323">
        <v>2</v>
      </c>
      <c r="AG637" s="323">
        <v>3.99</v>
      </c>
      <c r="AH637" s="323">
        <v>60</v>
      </c>
      <c r="AI637" s="323">
        <v>1.5</v>
      </c>
      <c r="AJ637" s="323">
        <v>2.8000000000000003</v>
      </c>
      <c r="AK637" s="323">
        <v>24.5</v>
      </c>
      <c r="AL637" s="323">
        <v>97.94</v>
      </c>
      <c r="AM637" s="323">
        <v>8.5930347535826013E-2</v>
      </c>
      <c r="AN637" s="323">
        <v>8.6948381583164591E-2</v>
      </c>
      <c r="AO637" s="323">
        <v>6.0114148756747476E-2</v>
      </c>
      <c r="AP637" s="323">
        <v>7.657624813550358E-2</v>
      </c>
      <c r="AQ637" s="323">
        <v>0.59489034753582604</v>
      </c>
      <c r="AR637" s="323">
        <v>0.28790838158316462</v>
      </c>
      <c r="AS637" s="323">
        <v>0.33351164875674744</v>
      </c>
      <c r="AT637" s="323">
        <v>0.49573624813550354</v>
      </c>
      <c r="AU637" s="190">
        <v>541978691010572.44</v>
      </c>
      <c r="AV637" s="190">
        <v>548399621173233.75</v>
      </c>
      <c r="AW637" s="190">
        <v>3033208973424747.5</v>
      </c>
      <c r="AX637" s="190">
        <v>3863845164566825</v>
      </c>
      <c r="AY637" s="203">
        <v>14.1</v>
      </c>
      <c r="AZ637" s="239">
        <v>103</v>
      </c>
      <c r="BB637" s="204">
        <v>35684</v>
      </c>
      <c r="BC637" s="203" t="s">
        <v>3216</v>
      </c>
    </row>
    <row r="638" spans="1:55" x14ac:dyDescent="0.2">
      <c r="A638" s="184" t="s">
        <v>711</v>
      </c>
      <c r="B638" s="184" t="s">
        <v>2440</v>
      </c>
      <c r="C638" s="184" t="s">
        <v>2439</v>
      </c>
      <c r="D638" s="185" t="s">
        <v>1043</v>
      </c>
      <c r="E638" s="184" t="s">
        <v>2441</v>
      </c>
      <c r="F638" s="184" t="s">
        <v>2441</v>
      </c>
      <c r="G638" s="186">
        <f>IF(ALECA_Input!$F$13="ICAO (3000ft)",'Aircraft Calc'!C$211,'Aircraft Calc'!G$211)</f>
        <v>0.7</v>
      </c>
      <c r="H638" s="186">
        <f>IF(ALECA_Input!$F$13="ICAO (3000ft)",'Aircraft Calc'!D$211,'Aircraft Calc'!H$211)</f>
        <v>2.2000000000000002</v>
      </c>
      <c r="I638" s="186">
        <f>IF(ALECA_Input!$F$13="ICAO (3000ft)",'Aircraft Calc'!E$211,'Aircraft Calc'!I$211)</f>
        <v>4</v>
      </c>
      <c r="J638" s="189">
        <v>1</v>
      </c>
      <c r="K638" s="187">
        <f t="shared" si="157"/>
        <v>272.86799999999999</v>
      </c>
      <c r="L638" s="187">
        <f t="shared" si="158"/>
        <v>4.7966206800000011</v>
      </c>
      <c r="M638" s="187">
        <f t="shared" si="159"/>
        <v>0.1359204</v>
      </c>
      <c r="N638" s="187">
        <f t="shared" si="160"/>
        <v>4.7971356000000007</v>
      </c>
      <c r="O638" s="187">
        <f t="shared" si="161"/>
        <v>4.2787222739932122E-2</v>
      </c>
      <c r="P638" s="188">
        <f t="shared" si="162"/>
        <v>3.6822458047391392E+17</v>
      </c>
      <c r="Q638" s="187">
        <f t="shared" si="163"/>
        <v>7560.0000000000009</v>
      </c>
      <c r="R638" s="219">
        <f t="shared" si="164"/>
        <v>20.4876</v>
      </c>
      <c r="S638" s="219">
        <f t="shared" si="165"/>
        <v>439.08480000000003</v>
      </c>
      <c r="T638" s="219">
        <f t="shared" si="166"/>
        <v>744.58440000000007</v>
      </c>
      <c r="U638" s="219">
        <f t="shared" si="167"/>
        <v>3.6582072519044067</v>
      </c>
      <c r="V638" s="188">
        <f t="shared" si="168"/>
        <v>2.92106694441252E+16</v>
      </c>
      <c r="W638" s="323">
        <v>1.226</v>
      </c>
      <c r="X638" s="323">
        <v>1.008</v>
      </c>
      <c r="Y638" s="323">
        <v>0.36799999999999999</v>
      </c>
      <c r="Z638" s="323">
        <v>0.126</v>
      </c>
      <c r="AA638" s="323">
        <v>27.57</v>
      </c>
      <c r="AB638" s="323">
        <v>21.59</v>
      </c>
      <c r="AC638" s="323">
        <v>5.71</v>
      </c>
      <c r="AD638" s="323">
        <v>2.71</v>
      </c>
      <c r="AE638" s="323">
        <v>0.1</v>
      </c>
      <c r="AF638" s="323">
        <v>0.1</v>
      </c>
      <c r="AG638" s="323">
        <v>1.33</v>
      </c>
      <c r="AH638" s="323">
        <v>58.08</v>
      </c>
      <c r="AI638" s="323">
        <v>27.580000000000002</v>
      </c>
      <c r="AJ638" s="323">
        <v>21.59</v>
      </c>
      <c r="AK638" s="323">
        <v>5.71</v>
      </c>
      <c r="AL638" s="323">
        <v>98.490000000000009</v>
      </c>
      <c r="AM638" s="323">
        <v>8.5930347535826013E-2</v>
      </c>
      <c r="AN638" s="323">
        <v>8.6300315554514104E-2</v>
      </c>
      <c r="AO638" s="323">
        <v>6.0114148756747476E-2</v>
      </c>
      <c r="AP638" s="323">
        <v>7.657624813550358E-2</v>
      </c>
      <c r="AQ638" s="323">
        <v>0.146390347535826</v>
      </c>
      <c r="AR638" s="323">
        <v>0.14286031555451412</v>
      </c>
      <c r="AS638" s="323">
        <v>0.18388664875674748</v>
      </c>
      <c r="AT638" s="323">
        <v>0.48388984813550351</v>
      </c>
      <c r="AU638" s="190">
        <v>541978691010572.44</v>
      </c>
      <c r="AV638" s="190">
        <v>544312148144569.69</v>
      </c>
      <c r="AW638" s="190">
        <v>3033208973424747.5</v>
      </c>
      <c r="AX638" s="190">
        <v>3863845164566825</v>
      </c>
      <c r="AY638" s="203">
        <v>21.3</v>
      </c>
      <c r="AZ638" s="239">
        <v>128</v>
      </c>
      <c r="BB638" s="204">
        <v>35684</v>
      </c>
      <c r="BC638" s="203" t="s">
        <v>1109</v>
      </c>
    </row>
    <row r="639" spans="1:55" x14ac:dyDescent="0.2">
      <c r="A639" s="184" t="s">
        <v>711</v>
      </c>
      <c r="B639" s="184" t="s">
        <v>2442</v>
      </c>
      <c r="C639" s="184" t="s">
        <v>2439</v>
      </c>
      <c r="D639" s="185" t="s">
        <v>1043</v>
      </c>
      <c r="E639" s="184" t="s">
        <v>2443</v>
      </c>
      <c r="F639" s="184" t="s">
        <v>2443</v>
      </c>
      <c r="G639" s="186">
        <f>IF(ALECA_Input!$F$13="ICAO (3000ft)",'Aircraft Calc'!C$211,'Aircraft Calc'!G$211)</f>
        <v>0.7</v>
      </c>
      <c r="H639" s="186">
        <f>IF(ALECA_Input!$F$13="ICAO (3000ft)",'Aircraft Calc'!D$211,'Aircraft Calc'!H$211)</f>
        <v>2.2000000000000002</v>
      </c>
      <c r="I639" s="186">
        <f>IF(ALECA_Input!$F$13="ICAO (3000ft)",'Aircraft Calc'!E$211,'Aircraft Calc'!I$211)</f>
        <v>4</v>
      </c>
      <c r="J639" s="189">
        <v>1</v>
      </c>
      <c r="K639" s="187">
        <f t="shared" si="157"/>
        <v>328.64400000000001</v>
      </c>
      <c r="L639" s="187">
        <f t="shared" si="158"/>
        <v>2.8539763200000001</v>
      </c>
      <c r="M639" s="187">
        <f t="shared" si="159"/>
        <v>0.99696960000000012</v>
      </c>
      <c r="N639" s="187">
        <f t="shared" si="160"/>
        <v>3.1636048800000007</v>
      </c>
      <c r="O639" s="187">
        <f t="shared" si="161"/>
        <v>0.11894374567085564</v>
      </c>
      <c r="P639" s="188">
        <f t="shared" si="162"/>
        <v>4.4579556213307597E+17</v>
      </c>
      <c r="Q639" s="187">
        <f t="shared" si="163"/>
        <v>10379.999999999998</v>
      </c>
      <c r="R639" s="219">
        <f t="shared" si="164"/>
        <v>26.053799999999999</v>
      </c>
      <c r="S639" s="219">
        <f t="shared" si="165"/>
        <v>602.8703999999999</v>
      </c>
      <c r="T639" s="219">
        <f t="shared" si="166"/>
        <v>1020.0425999999999</v>
      </c>
      <c r="U639" s="219">
        <f t="shared" si="167"/>
        <v>5.0227766236465259</v>
      </c>
      <c r="V639" s="188">
        <f t="shared" si="168"/>
        <v>4.010671280820364E+16</v>
      </c>
      <c r="W639" s="323">
        <v>1.508</v>
      </c>
      <c r="X639" s="323">
        <v>1.1990000000000001</v>
      </c>
      <c r="Y639" s="323">
        <v>0.44600000000000001</v>
      </c>
      <c r="Z639" s="323">
        <v>0.17299999999999999</v>
      </c>
      <c r="AA639" s="323">
        <v>12.16</v>
      </c>
      <c r="AB639" s="323">
        <v>9.92</v>
      </c>
      <c r="AC639" s="323">
        <v>4.8</v>
      </c>
      <c r="AD639" s="323">
        <v>2.5100000000000002</v>
      </c>
      <c r="AE639" s="323">
        <v>4</v>
      </c>
      <c r="AF639" s="323">
        <v>2</v>
      </c>
      <c r="AG639" s="323">
        <v>3.99</v>
      </c>
      <c r="AH639" s="323">
        <v>58.08</v>
      </c>
      <c r="AI639" s="323">
        <v>1.53</v>
      </c>
      <c r="AJ639" s="323">
        <v>2.8000000000000003</v>
      </c>
      <c r="AK639" s="323">
        <v>24.51</v>
      </c>
      <c r="AL639" s="323">
        <v>98.27</v>
      </c>
      <c r="AM639" s="323">
        <v>8.5930347535826013E-2</v>
      </c>
      <c r="AN639" s="323">
        <v>8.6948381583164591E-2</v>
      </c>
      <c r="AO639" s="323">
        <v>6.0114148756747476E-2</v>
      </c>
      <c r="AP639" s="323">
        <v>7.657624813550358E-2</v>
      </c>
      <c r="AQ639" s="323">
        <v>0.59489034753582604</v>
      </c>
      <c r="AR639" s="323">
        <v>0.28790838158316462</v>
      </c>
      <c r="AS639" s="323">
        <v>0.33351164875674744</v>
      </c>
      <c r="AT639" s="323">
        <v>0.48388984813550351</v>
      </c>
      <c r="AU639" s="190">
        <v>541978691010572.44</v>
      </c>
      <c r="AV639" s="190">
        <v>548399621173233.75</v>
      </c>
      <c r="AW639" s="190">
        <v>3033208973424747.5</v>
      </c>
      <c r="AX639" s="190">
        <v>3863845164566825</v>
      </c>
      <c r="AY639" s="203">
        <v>14.1</v>
      </c>
      <c r="AZ639" s="239">
        <v>103</v>
      </c>
      <c r="BB639" s="204">
        <v>35684</v>
      </c>
      <c r="BC639" s="203" t="s">
        <v>3217</v>
      </c>
    </row>
    <row r="640" spans="1:55" x14ac:dyDescent="0.2">
      <c r="A640" s="184" t="s">
        <v>671</v>
      </c>
      <c r="B640" s="184" t="s">
        <v>2444</v>
      </c>
      <c r="C640" s="184" t="s">
        <v>934</v>
      </c>
      <c r="D640" s="185" t="s">
        <v>1043</v>
      </c>
      <c r="E640" s="184" t="s">
        <v>2445</v>
      </c>
      <c r="F640" s="184" t="s">
        <v>2446</v>
      </c>
      <c r="G640" s="186">
        <f>IF(ALECA_Input!$F$13="ICAO (3000ft)",'Aircraft Calc'!C$211,'Aircraft Calc'!G$211)</f>
        <v>0.7</v>
      </c>
      <c r="H640" s="186">
        <f>IF(ALECA_Input!$F$13="ICAO (3000ft)",'Aircraft Calc'!D$211,'Aircraft Calc'!H$211)</f>
        <v>2.2000000000000002</v>
      </c>
      <c r="I640" s="186">
        <f>IF(ALECA_Input!$F$13="ICAO (3000ft)",'Aircraft Calc'!E$211,'Aircraft Calc'!I$211)</f>
        <v>4</v>
      </c>
      <c r="J640" s="189">
        <v>1</v>
      </c>
      <c r="K640" s="187">
        <f t="shared" si="157"/>
        <v>68.630399999999995</v>
      </c>
      <c r="L640" s="187">
        <f t="shared" si="158"/>
        <v>0.85284466799999992</v>
      </c>
      <c r="M640" s="187">
        <f t="shared" si="159"/>
        <v>2.8669652399999995E-2</v>
      </c>
      <c r="N640" s="187">
        <f t="shared" si="160"/>
        <v>0.14744186400000001</v>
      </c>
      <c r="O640" s="187">
        <f t="shared" si="161"/>
        <v>6.3121836137184327E-3</v>
      </c>
      <c r="P640" s="188">
        <f t="shared" si="162"/>
        <v>2.1660821254716516E+16</v>
      </c>
      <c r="Q640" s="187">
        <f t="shared" si="163"/>
        <v>2262</v>
      </c>
      <c r="R640" s="219">
        <f t="shared" si="164"/>
        <v>7.60032</v>
      </c>
      <c r="S640" s="219">
        <f t="shared" si="165"/>
        <v>11.203686000000001</v>
      </c>
      <c r="T640" s="219">
        <f t="shared" si="166"/>
        <v>59.53584</v>
      </c>
      <c r="U640" s="219">
        <f t="shared" si="167"/>
        <v>0.22499182641778789</v>
      </c>
      <c r="V640" s="188">
        <f t="shared" si="168"/>
        <v>2276518959359845.5</v>
      </c>
      <c r="W640" s="323">
        <v>0.30099999999999999</v>
      </c>
      <c r="X640" s="323">
        <v>0.25269999999999998</v>
      </c>
      <c r="Y640" s="323">
        <v>9.4299999999999995E-2</v>
      </c>
      <c r="Z640" s="323">
        <v>3.7699999999999997E-2</v>
      </c>
      <c r="AA640" s="323">
        <v>16.88</v>
      </c>
      <c r="AB640" s="323">
        <v>14.57</v>
      </c>
      <c r="AC640" s="323">
        <v>6.78</v>
      </c>
      <c r="AD640" s="323">
        <v>3.36</v>
      </c>
      <c r="AE640" s="323">
        <v>0.254</v>
      </c>
      <c r="AF640" s="323">
        <v>0.29099999999999998</v>
      </c>
      <c r="AG640" s="323">
        <v>0.69599999999999995</v>
      </c>
      <c r="AH640" s="323">
        <v>4.9530000000000003</v>
      </c>
      <c r="AI640" s="323">
        <v>0.94</v>
      </c>
      <c r="AJ640" s="323">
        <v>1.1599999999999999</v>
      </c>
      <c r="AK640" s="323">
        <v>4.28</v>
      </c>
      <c r="AL640" s="323">
        <v>26.32</v>
      </c>
      <c r="AM640" s="323">
        <v>2.252598626578756E-2</v>
      </c>
      <c r="AN640" s="323">
        <v>9.6121405886544723E-3</v>
      </c>
      <c r="AO640" s="323">
        <v>1.5624493752869943E-2</v>
      </c>
      <c r="AP640" s="323">
        <v>1.9945872589649815E-2</v>
      </c>
      <c r="AQ640" s="323">
        <v>0.10069598626578755</v>
      </c>
      <c r="AR640" s="323">
        <v>8.0688140588654478E-2</v>
      </c>
      <c r="AS640" s="323">
        <v>0.10373449375286994</v>
      </c>
      <c r="AT640" s="323">
        <v>9.9465882589649821E-2</v>
      </c>
      <c r="AU640" s="190">
        <v>142075586799688.81</v>
      </c>
      <c r="AV640" s="190">
        <v>60625559228380.539</v>
      </c>
      <c r="AW640" s="190">
        <v>788372714852832.25</v>
      </c>
      <c r="AX640" s="190">
        <v>1006418638090117.4</v>
      </c>
      <c r="AY640" s="203">
        <v>1.1000000000000001</v>
      </c>
      <c r="AZ640" s="239">
        <v>29.62</v>
      </c>
      <c r="BA640" s="203">
        <v>1995</v>
      </c>
      <c r="BB640" s="204">
        <v>39290</v>
      </c>
      <c r="BC640" s="203" t="s">
        <v>2447</v>
      </c>
    </row>
    <row r="641" spans="1:55" x14ac:dyDescent="0.2">
      <c r="A641" s="184" t="s">
        <v>2273</v>
      </c>
      <c r="B641" s="184" t="s">
        <v>2448</v>
      </c>
      <c r="C641" s="184" t="s">
        <v>934</v>
      </c>
      <c r="D641" s="185" t="s">
        <v>1043</v>
      </c>
      <c r="E641" s="184" t="s">
        <v>2449</v>
      </c>
      <c r="F641" s="184" t="s">
        <v>2449</v>
      </c>
      <c r="G641" s="186">
        <f>IF(ALECA_Input!$F$13="ICAO (3000ft)",'Aircraft Calc'!C$211,'Aircraft Calc'!G$211)</f>
        <v>0.7</v>
      </c>
      <c r="H641" s="186">
        <f>IF(ALECA_Input!$F$13="ICAO (3000ft)",'Aircraft Calc'!D$211,'Aircraft Calc'!H$211)</f>
        <v>2.2000000000000002</v>
      </c>
      <c r="I641" s="186">
        <f>IF(ALECA_Input!$F$13="ICAO (3000ft)",'Aircraft Calc'!E$211,'Aircraft Calc'!I$211)</f>
        <v>4</v>
      </c>
      <c r="J641" s="189">
        <v>1</v>
      </c>
      <c r="K641" s="187">
        <f t="shared" si="157"/>
        <v>81.168000000000006</v>
      </c>
      <c r="L641" s="187">
        <f t="shared" si="158"/>
        <v>1.1060067600000001</v>
      </c>
      <c r="M641" s="187">
        <f t="shared" si="159"/>
        <v>3.6440640000000003E-2</v>
      </c>
      <c r="N641" s="187">
        <f t="shared" si="160"/>
        <v>0.1602102</v>
      </c>
      <c r="O641" s="187">
        <f t="shared" si="161"/>
        <v>8.1966637052444027E-3</v>
      </c>
      <c r="P641" s="188">
        <f t="shared" si="162"/>
        <v>3.347378498315152E+16</v>
      </c>
      <c r="Q641" s="187">
        <f t="shared" si="163"/>
        <v>2820</v>
      </c>
      <c r="R641" s="219">
        <f t="shared" si="164"/>
        <v>9.8699999999999992</v>
      </c>
      <c r="S641" s="219">
        <f t="shared" si="165"/>
        <v>10.518599999999999</v>
      </c>
      <c r="T641" s="219">
        <f t="shared" si="166"/>
        <v>64.888199999999998</v>
      </c>
      <c r="U641" s="219">
        <f t="shared" si="167"/>
        <v>0.27340767086662965</v>
      </c>
      <c r="V641" s="188">
        <f t="shared" si="168"/>
        <v>3554261262073996</v>
      </c>
      <c r="W641" s="323">
        <v>0.35799999999999998</v>
      </c>
      <c r="X641" s="323">
        <v>0.30099999999999999</v>
      </c>
      <c r="Y641" s="323">
        <v>0.11</v>
      </c>
      <c r="Z641" s="323">
        <v>4.7E-2</v>
      </c>
      <c r="AA641" s="323">
        <v>18.82</v>
      </c>
      <c r="AB641" s="323">
        <v>16.07</v>
      </c>
      <c r="AC641" s="323">
        <v>6.99</v>
      </c>
      <c r="AD641" s="323">
        <v>3.5</v>
      </c>
      <c r="AE641" s="323">
        <v>0.27</v>
      </c>
      <c r="AF641" s="323">
        <v>0.31</v>
      </c>
      <c r="AG641" s="323">
        <v>0.76</v>
      </c>
      <c r="AH641" s="323">
        <v>3.73</v>
      </c>
      <c r="AI641" s="323">
        <v>0.84</v>
      </c>
      <c r="AJ641" s="323">
        <v>1.03</v>
      </c>
      <c r="AK641" s="323">
        <v>4.04</v>
      </c>
      <c r="AL641" s="323">
        <v>23.01</v>
      </c>
      <c r="AM641" s="323">
        <v>2.0969215231583453E-2</v>
      </c>
      <c r="AN641" s="323">
        <v>2.1625966423885794E-2</v>
      </c>
      <c r="AO641" s="323">
        <v>1.9567753298048572E-2</v>
      </c>
      <c r="AP641" s="323">
        <v>2.4978974775400588E-2</v>
      </c>
      <c r="AQ641" s="323">
        <v>0.10097921523158346</v>
      </c>
      <c r="AR641" s="323">
        <v>9.4145966423885799E-2</v>
      </c>
      <c r="AS641" s="323">
        <v>0.11127775329804857</v>
      </c>
      <c r="AT641" s="323">
        <v>9.6953074775400591E-2</v>
      </c>
      <c r="AU641" s="190">
        <v>132256742217809.88</v>
      </c>
      <c r="AV641" s="190">
        <v>136398994189678.78</v>
      </c>
      <c r="AW641" s="190">
        <v>987339688258341.5</v>
      </c>
      <c r="AX641" s="190">
        <v>1260376334068793</v>
      </c>
      <c r="AY641" s="203">
        <v>1.4</v>
      </c>
      <c r="AZ641" s="239">
        <v>32.03</v>
      </c>
      <c r="BA641" s="203">
        <v>1994</v>
      </c>
      <c r="BB641" s="204">
        <v>36564</v>
      </c>
      <c r="BC641" s="203" t="s">
        <v>1109</v>
      </c>
    </row>
    <row r="642" spans="1:55" x14ac:dyDescent="0.2">
      <c r="A642" s="184" t="s">
        <v>2451</v>
      </c>
      <c r="B642" s="184" t="s">
        <v>2450</v>
      </c>
      <c r="C642" s="184" t="s">
        <v>934</v>
      </c>
      <c r="D642" s="185" t="s">
        <v>1043</v>
      </c>
      <c r="E642" s="184" t="s">
        <v>2452</v>
      </c>
      <c r="F642" s="184" t="s">
        <v>2452</v>
      </c>
      <c r="G642" s="186">
        <f>IF(ALECA_Input!$F$13="ICAO (3000ft)",'Aircraft Calc'!C$211,'Aircraft Calc'!G$211)</f>
        <v>0.7</v>
      </c>
      <c r="H642" s="186">
        <f>IF(ALECA_Input!$F$13="ICAO (3000ft)",'Aircraft Calc'!D$211,'Aircraft Calc'!H$211)</f>
        <v>2.2000000000000002</v>
      </c>
      <c r="I642" s="186">
        <f>IF(ALECA_Input!$F$13="ICAO (3000ft)",'Aircraft Calc'!E$211,'Aircraft Calc'!I$211)</f>
        <v>4</v>
      </c>
      <c r="J642" s="189">
        <v>1</v>
      </c>
      <c r="K642" s="187">
        <f t="shared" si="157"/>
        <v>85.165200000000013</v>
      </c>
      <c r="L642" s="187">
        <f t="shared" si="158"/>
        <v>1.2065333519999999</v>
      </c>
      <c r="M642" s="187">
        <f t="shared" si="159"/>
        <v>3.2102725200000001E-2</v>
      </c>
      <c r="N642" s="187">
        <f t="shared" si="160"/>
        <v>0.15870944400000003</v>
      </c>
      <c r="O642" s="187">
        <f t="shared" si="161"/>
        <v>7.5041107806094196E-3</v>
      </c>
      <c r="P642" s="188">
        <f t="shared" si="162"/>
        <v>2.4394790953229016E+16</v>
      </c>
      <c r="Q642" s="187">
        <f t="shared" si="163"/>
        <v>2766</v>
      </c>
      <c r="R642" s="219">
        <f t="shared" si="164"/>
        <v>9.59802</v>
      </c>
      <c r="S642" s="219">
        <f t="shared" si="165"/>
        <v>10.560588000000001</v>
      </c>
      <c r="T642" s="219">
        <f t="shared" si="166"/>
        <v>65.637180000000001</v>
      </c>
      <c r="U642" s="219">
        <f t="shared" si="167"/>
        <v>0.25193189142057121</v>
      </c>
      <c r="V642" s="188">
        <f t="shared" si="168"/>
        <v>2590977075123631.5</v>
      </c>
      <c r="W642" s="323">
        <v>0.3826</v>
      </c>
      <c r="X642" s="323">
        <v>0.318</v>
      </c>
      <c r="Y642" s="323">
        <v>0.113</v>
      </c>
      <c r="Z642" s="323">
        <v>4.6100000000000002E-2</v>
      </c>
      <c r="AA642" s="323">
        <v>19.66</v>
      </c>
      <c r="AB642" s="323">
        <v>16.63</v>
      </c>
      <c r="AC642" s="323">
        <v>7.1</v>
      </c>
      <c r="AD642" s="323">
        <v>3.47</v>
      </c>
      <c r="AE642" s="323">
        <v>0.221</v>
      </c>
      <c r="AF642" s="323">
        <v>0.25700000000000001</v>
      </c>
      <c r="AG642" s="323">
        <v>0.65500000000000003</v>
      </c>
      <c r="AH642" s="323">
        <v>3.8180000000000001</v>
      </c>
      <c r="AI642" s="323">
        <v>0.77</v>
      </c>
      <c r="AJ642" s="323">
        <v>0.96</v>
      </c>
      <c r="AK642" s="323">
        <v>3.91</v>
      </c>
      <c r="AL642" s="323">
        <v>23.73</v>
      </c>
      <c r="AM642" s="323">
        <v>2.0969215231583453E-2</v>
      </c>
      <c r="AN642" s="323">
        <v>8.9475694954526275E-3</v>
      </c>
      <c r="AO642" s="323">
        <v>1.4542936875698315E-2</v>
      </c>
      <c r="AP642" s="323">
        <v>1.8564607180249906E-2</v>
      </c>
      <c r="AQ642" s="323">
        <v>9.5344215231583457E-2</v>
      </c>
      <c r="AR642" s="323">
        <v>7.7439569495452623E-2</v>
      </c>
      <c r="AS642" s="323">
        <v>0.10034668687569831</v>
      </c>
      <c r="AT642" s="323">
        <v>9.1081667180249903E-2</v>
      </c>
      <c r="AU642" s="190">
        <v>132256742217809.88</v>
      </c>
      <c r="AV642" s="190">
        <v>56433985686485.656</v>
      </c>
      <c r="AW642" s="190">
        <v>733800071091691.13</v>
      </c>
      <c r="AX642" s="190">
        <v>936723454491551.5</v>
      </c>
      <c r="AY642" s="203">
        <v>1.5</v>
      </c>
      <c r="AZ642" s="239">
        <v>34.909999999999997</v>
      </c>
      <c r="BA642" s="203">
        <v>1995</v>
      </c>
      <c r="BB642" s="204">
        <v>37953</v>
      </c>
      <c r="BC642" s="203" t="s">
        <v>2453</v>
      </c>
    </row>
    <row r="643" spans="1:55" x14ac:dyDescent="0.2">
      <c r="A643" s="184" t="s">
        <v>2455</v>
      </c>
      <c r="B643" s="184" t="s">
        <v>2454</v>
      </c>
      <c r="C643" s="184" t="s">
        <v>934</v>
      </c>
      <c r="D643" s="185" t="s">
        <v>1043</v>
      </c>
      <c r="E643" s="184" t="s">
        <v>2456</v>
      </c>
      <c r="F643" s="184" t="s">
        <v>2456</v>
      </c>
      <c r="G643" s="186">
        <f>IF(ALECA_Input!$F$13="ICAO (3000ft)",'Aircraft Calc'!C$211,'Aircraft Calc'!G$211)</f>
        <v>0.7</v>
      </c>
      <c r="H643" s="186">
        <f>IF(ALECA_Input!$F$13="ICAO (3000ft)",'Aircraft Calc'!D$211,'Aircraft Calc'!H$211)</f>
        <v>2.2000000000000002</v>
      </c>
      <c r="I643" s="186">
        <f>IF(ALECA_Input!$F$13="ICAO (3000ft)",'Aircraft Calc'!E$211,'Aircraft Calc'!I$211)</f>
        <v>4</v>
      </c>
      <c r="J643" s="189">
        <v>1</v>
      </c>
      <c r="K643" s="187">
        <f t="shared" si="157"/>
        <v>72.811199999999985</v>
      </c>
      <c r="L643" s="187">
        <f t="shared" si="158"/>
        <v>0.95475233999999976</v>
      </c>
      <c r="M643" s="187">
        <f t="shared" si="159"/>
        <v>2.8801059599999998E-2</v>
      </c>
      <c r="N643" s="187">
        <f t="shared" si="160"/>
        <v>0.14393726400000001</v>
      </c>
      <c r="O643" s="187">
        <f t="shared" si="161"/>
        <v>6.5711432894789944E-3</v>
      </c>
      <c r="P643" s="188">
        <f t="shared" si="162"/>
        <v>2.2457821872616308E+16</v>
      </c>
      <c r="Q643" s="187">
        <f t="shared" si="163"/>
        <v>2508</v>
      </c>
      <c r="R643" s="219">
        <f t="shared" si="164"/>
        <v>8.4519599999999997</v>
      </c>
      <c r="S643" s="219">
        <f t="shared" si="165"/>
        <v>12.131195999999999</v>
      </c>
      <c r="T643" s="219">
        <f t="shared" si="166"/>
        <v>65.308319999999995</v>
      </c>
      <c r="U643" s="219">
        <f t="shared" si="167"/>
        <v>0.2468597766941964</v>
      </c>
      <c r="V643" s="188">
        <f t="shared" si="168"/>
        <v>2483447823291595.5</v>
      </c>
      <c r="W643" s="323">
        <v>0.32219999999999999</v>
      </c>
      <c r="X643" s="323">
        <v>0.26889999999999997</v>
      </c>
      <c r="Y643" s="323">
        <v>9.9099999999999994E-2</v>
      </c>
      <c r="Z643" s="323">
        <v>4.1799999999999997E-2</v>
      </c>
      <c r="AA643" s="323">
        <v>17.899999999999999</v>
      </c>
      <c r="AB643" s="323">
        <v>15.35</v>
      </c>
      <c r="AC643" s="323">
        <v>7.05</v>
      </c>
      <c r="AD643" s="323">
        <v>3.37</v>
      </c>
      <c r="AE643" s="323">
        <v>0.24</v>
      </c>
      <c r="AF643" s="323">
        <v>0.27700000000000002</v>
      </c>
      <c r="AG643" s="323">
        <v>0.66100000000000003</v>
      </c>
      <c r="AH643" s="323">
        <v>4.8369999999999997</v>
      </c>
      <c r="AI643" s="323">
        <v>0.87</v>
      </c>
      <c r="AJ643" s="323">
        <v>1.07</v>
      </c>
      <c r="AK643" s="323">
        <v>3.96</v>
      </c>
      <c r="AL643" s="323">
        <v>26.04</v>
      </c>
      <c r="AM643" s="323">
        <v>2.2163946490391259E-2</v>
      </c>
      <c r="AN643" s="323">
        <v>9.4575891716307866E-3</v>
      </c>
      <c r="AO643" s="323">
        <v>1.537296889771375E-2</v>
      </c>
      <c r="AP643" s="323">
        <v>1.9624648075835881E-2</v>
      </c>
      <c r="AQ643" s="323">
        <v>9.8723946490391248E-2</v>
      </c>
      <c r="AR643" s="323">
        <v>7.9469589171630786E-2</v>
      </c>
      <c r="AS643" s="323">
        <v>0.10151421889771375</v>
      </c>
      <c r="AT643" s="323">
        <v>9.8428938075835887E-2</v>
      </c>
      <c r="AU643" s="190">
        <v>139792134571344.89</v>
      </c>
      <c r="AV643" s="190">
        <v>59650774683753.82</v>
      </c>
      <c r="AW643" s="190">
        <v>775681402350241.25</v>
      </c>
      <c r="AX643" s="190">
        <v>990210455857892.88</v>
      </c>
      <c r="AY643" s="203">
        <v>1.2</v>
      </c>
      <c r="AZ643" s="239">
        <v>31.46</v>
      </c>
      <c r="BA643" s="203">
        <v>1995</v>
      </c>
      <c r="BB643" s="204">
        <v>37953</v>
      </c>
      <c r="BC643" s="203" t="s">
        <v>2453</v>
      </c>
    </row>
    <row r="644" spans="1:55" x14ac:dyDescent="0.2">
      <c r="A644" s="184" t="s">
        <v>2458</v>
      </c>
      <c r="B644" s="184" t="s">
        <v>2457</v>
      </c>
      <c r="C644" s="184" t="s">
        <v>934</v>
      </c>
      <c r="D644" s="185" t="s">
        <v>1043</v>
      </c>
      <c r="E644" s="184" t="s">
        <v>2452</v>
      </c>
      <c r="F644" s="184" t="s">
        <v>2452</v>
      </c>
      <c r="G644" s="186">
        <f>IF(ALECA_Input!$F$13="ICAO (3000ft)",'Aircraft Calc'!C$211,'Aircraft Calc'!G$211)</f>
        <v>0.7</v>
      </c>
      <c r="H644" s="186">
        <f>IF(ALECA_Input!$F$13="ICAO (3000ft)",'Aircraft Calc'!D$211,'Aircraft Calc'!H$211)</f>
        <v>2.2000000000000002</v>
      </c>
      <c r="I644" s="186">
        <f>IF(ALECA_Input!$F$13="ICAO (3000ft)",'Aircraft Calc'!E$211,'Aircraft Calc'!I$211)</f>
        <v>4</v>
      </c>
      <c r="J644" s="189">
        <v>1</v>
      </c>
      <c r="K644" s="187">
        <f t="shared" si="157"/>
        <v>85.165200000000013</v>
      </c>
      <c r="L644" s="187">
        <f t="shared" si="158"/>
        <v>1.3772648520000002</v>
      </c>
      <c r="M644" s="187">
        <f t="shared" si="159"/>
        <v>4.8815999999999998E-3</v>
      </c>
      <c r="N644" s="187">
        <f t="shared" si="160"/>
        <v>3.9231264000000002E-2</v>
      </c>
      <c r="O644" s="187">
        <f t="shared" si="161"/>
        <v>5.3411873989138905E-3</v>
      </c>
      <c r="P644" s="188">
        <f t="shared" si="162"/>
        <v>2.3070048943349916E+16</v>
      </c>
      <c r="Q644" s="187">
        <f t="shared" si="163"/>
        <v>2766</v>
      </c>
      <c r="R644" s="219">
        <f t="shared" si="164"/>
        <v>8.8235399999999995</v>
      </c>
      <c r="S644" s="219">
        <f t="shared" si="165"/>
        <v>13.94064</v>
      </c>
      <c r="T644" s="219">
        <f t="shared" si="166"/>
        <v>90.143940000000015</v>
      </c>
      <c r="U644" s="219">
        <f t="shared" si="167"/>
        <v>0.27278681226057122</v>
      </c>
      <c r="V644" s="188">
        <f t="shared" si="168"/>
        <v>2590977075123631.5</v>
      </c>
      <c r="W644" s="323">
        <v>0.3826</v>
      </c>
      <c r="X644" s="323">
        <v>0.318</v>
      </c>
      <c r="Y644" s="323">
        <v>0.113</v>
      </c>
      <c r="Z644" s="323">
        <v>4.6100000000000002E-2</v>
      </c>
      <c r="AA644" s="323">
        <v>22.41</v>
      </c>
      <c r="AB644" s="323">
        <v>19.579999999999998</v>
      </c>
      <c r="AC644" s="323">
        <v>7.2</v>
      </c>
      <c r="AD644" s="323">
        <v>3.19</v>
      </c>
      <c r="AE644" s="323">
        <v>0</v>
      </c>
      <c r="AF644" s="323">
        <v>0</v>
      </c>
      <c r="AG644" s="323">
        <v>0.18</v>
      </c>
      <c r="AH644" s="323">
        <v>5.04</v>
      </c>
      <c r="AI644" s="323">
        <v>0.12</v>
      </c>
      <c r="AJ644" s="323">
        <v>0.01</v>
      </c>
      <c r="AK644" s="323">
        <v>1.36</v>
      </c>
      <c r="AL644" s="323">
        <v>32.590000000000003</v>
      </c>
      <c r="AM644" s="323">
        <v>7.8984381116565631E-3</v>
      </c>
      <c r="AN644" s="323">
        <v>8.9475694954526275E-3</v>
      </c>
      <c r="AO644" s="323">
        <v>1.4542936875698315E-2</v>
      </c>
      <c r="AP644" s="323">
        <v>1.8564607180249906E-2</v>
      </c>
      <c r="AQ644" s="323">
        <v>5.6858438111656556E-2</v>
      </c>
      <c r="AR644" s="323">
        <v>5.7907569495452629E-2</v>
      </c>
      <c r="AS644" s="323">
        <v>7.362793687569831E-2</v>
      </c>
      <c r="AT644" s="323">
        <v>9.8621407180249893E-2</v>
      </c>
      <c r="AU644" s="190">
        <v>49816918836490.211</v>
      </c>
      <c r="AV644" s="190">
        <v>56433985686485.656</v>
      </c>
      <c r="AW644" s="190">
        <v>733800071091691.13</v>
      </c>
      <c r="AX644" s="190">
        <v>936723454491551.5</v>
      </c>
      <c r="AY644" s="203">
        <v>1.6</v>
      </c>
      <c r="AZ644" s="239">
        <v>34.909999999999997</v>
      </c>
      <c r="BA644" s="203">
        <v>2002</v>
      </c>
      <c r="BB644" s="204">
        <v>37953</v>
      </c>
      <c r="BC644" s="203" t="s">
        <v>2459</v>
      </c>
    </row>
    <row r="645" spans="1:55" x14ac:dyDescent="0.2">
      <c r="A645" s="184" t="s">
        <v>2461</v>
      </c>
      <c r="B645" s="184" t="s">
        <v>2460</v>
      </c>
      <c r="C645" s="184" t="s">
        <v>934</v>
      </c>
      <c r="D645" s="185" t="s">
        <v>1043</v>
      </c>
      <c r="E645" s="184" t="s">
        <v>2452</v>
      </c>
      <c r="F645" s="184" t="s">
        <v>2452</v>
      </c>
      <c r="G645" s="186">
        <f>IF(ALECA_Input!$F$13="ICAO (3000ft)",'Aircraft Calc'!C$211,'Aircraft Calc'!G$211)</f>
        <v>0.7</v>
      </c>
      <c r="H645" s="186">
        <f>IF(ALECA_Input!$F$13="ICAO (3000ft)",'Aircraft Calc'!D$211,'Aircraft Calc'!H$211)</f>
        <v>2.2000000000000002</v>
      </c>
      <c r="I645" s="186">
        <f>IF(ALECA_Input!$F$13="ICAO (3000ft)",'Aircraft Calc'!E$211,'Aircraft Calc'!I$211)</f>
        <v>4</v>
      </c>
      <c r="J645" s="189">
        <v>1</v>
      </c>
      <c r="K645" s="187">
        <f t="shared" si="157"/>
        <v>85.165200000000013</v>
      </c>
      <c r="L645" s="187">
        <f t="shared" si="158"/>
        <v>1.0438068840000001</v>
      </c>
      <c r="M645" s="187">
        <f t="shared" si="159"/>
        <v>2.5549560000000002E-3</v>
      </c>
      <c r="N645" s="187">
        <f t="shared" si="160"/>
        <v>0.21780486000000002</v>
      </c>
      <c r="O645" s="187">
        <f t="shared" si="161"/>
        <v>5.2635064189138899E-3</v>
      </c>
      <c r="P645" s="188">
        <f t="shared" si="162"/>
        <v>2.3070048943349916E+16</v>
      </c>
      <c r="Q645" s="187">
        <f t="shared" si="163"/>
        <v>2766</v>
      </c>
      <c r="R645" s="219">
        <f t="shared" si="164"/>
        <v>11.534219999999999</v>
      </c>
      <c r="S645" s="219">
        <f t="shared" si="165"/>
        <v>10.649100000000001</v>
      </c>
      <c r="T645" s="219">
        <f t="shared" si="166"/>
        <v>110.39106</v>
      </c>
      <c r="U645" s="219">
        <f t="shared" si="167"/>
        <v>0.25247801046057122</v>
      </c>
      <c r="V645" s="188">
        <f t="shared" si="168"/>
        <v>2590977075123631.5</v>
      </c>
      <c r="W645" s="323">
        <v>0.3826</v>
      </c>
      <c r="X645" s="323">
        <v>0.318</v>
      </c>
      <c r="Y645" s="323">
        <v>0.113</v>
      </c>
      <c r="Z645" s="323">
        <v>4.6100000000000002E-2</v>
      </c>
      <c r="AA645" s="323">
        <v>16.170000000000002</v>
      </c>
      <c r="AB645" s="323">
        <v>14.07</v>
      </c>
      <c r="AC645" s="323">
        <v>7.13</v>
      </c>
      <c r="AD645" s="323">
        <v>4.17</v>
      </c>
      <c r="AE645" s="323">
        <v>0.03</v>
      </c>
      <c r="AF645" s="323">
        <v>0.03</v>
      </c>
      <c r="AG645" s="323">
        <v>0.03</v>
      </c>
      <c r="AH645" s="323">
        <v>3.85</v>
      </c>
      <c r="AI645" s="323">
        <v>0.75</v>
      </c>
      <c r="AJ645" s="323">
        <v>0.56000000000000005</v>
      </c>
      <c r="AK645" s="323">
        <v>6.72</v>
      </c>
      <c r="AL645" s="323">
        <v>39.909999999999997</v>
      </c>
      <c r="AM645" s="323">
        <v>7.8984381116565631E-3</v>
      </c>
      <c r="AN645" s="323">
        <v>8.9475694954526275E-3</v>
      </c>
      <c r="AO645" s="323">
        <v>1.4542936875698315E-2</v>
      </c>
      <c r="AP645" s="323">
        <v>1.8564607180249906E-2</v>
      </c>
      <c r="AQ645" s="323">
        <v>6.0308438111656565E-2</v>
      </c>
      <c r="AR645" s="323">
        <v>6.018756949545262E-2</v>
      </c>
      <c r="AS645" s="323">
        <v>6.5190436875698324E-2</v>
      </c>
      <c r="AT645" s="323">
        <v>9.1279107180249897E-2</v>
      </c>
      <c r="AU645" s="190">
        <v>49816918836490.211</v>
      </c>
      <c r="AV645" s="190">
        <v>56433985686485.656</v>
      </c>
      <c r="AW645" s="190">
        <v>733800071091691.13</v>
      </c>
      <c r="AX645" s="190">
        <v>936723454491551.5</v>
      </c>
      <c r="AY645" s="203">
        <v>1.3</v>
      </c>
      <c r="AZ645" s="239">
        <v>34.909999999999997</v>
      </c>
      <c r="BA645" s="203">
        <v>2001</v>
      </c>
      <c r="BB645" s="204">
        <v>37953</v>
      </c>
      <c r="BC645" s="203" t="s">
        <v>2462</v>
      </c>
    </row>
    <row r="646" spans="1:55" x14ac:dyDescent="0.2">
      <c r="A646" s="184" t="s">
        <v>2464</v>
      </c>
      <c r="B646" s="184" t="s">
        <v>2463</v>
      </c>
      <c r="C646" s="184" t="s">
        <v>934</v>
      </c>
      <c r="D646" s="185" t="s">
        <v>1043</v>
      </c>
      <c r="E646" s="184" t="s">
        <v>2465</v>
      </c>
      <c r="F646" s="184" t="s">
        <v>2465</v>
      </c>
      <c r="G646" s="186">
        <f>IF(ALECA_Input!$F$13="ICAO (3000ft)",'Aircraft Calc'!C$211,'Aircraft Calc'!G$211)</f>
        <v>0.7</v>
      </c>
      <c r="H646" s="186">
        <f>IF(ALECA_Input!$F$13="ICAO (3000ft)",'Aircraft Calc'!D$211,'Aircraft Calc'!H$211)</f>
        <v>2.2000000000000002</v>
      </c>
      <c r="I646" s="186">
        <f>IF(ALECA_Input!$F$13="ICAO (3000ft)",'Aircraft Calc'!E$211,'Aircraft Calc'!I$211)</f>
        <v>4</v>
      </c>
      <c r="J646" s="189">
        <v>1</v>
      </c>
      <c r="K646" s="187">
        <f t="shared" si="157"/>
        <v>84.732600000000005</v>
      </c>
      <c r="L646" s="187">
        <f t="shared" si="158"/>
        <v>1.1946271500000003</v>
      </c>
      <c r="M646" s="187">
        <f t="shared" si="159"/>
        <v>3.2085694800000009E-2</v>
      </c>
      <c r="N646" s="187">
        <f t="shared" si="160"/>
        <v>0.158914422</v>
      </c>
      <c r="O646" s="187">
        <f t="shared" si="161"/>
        <v>7.4758495656061293E-3</v>
      </c>
      <c r="P646" s="188">
        <f t="shared" si="162"/>
        <v>2.4282406113646352E+16</v>
      </c>
      <c r="Q646" s="187">
        <f t="shared" si="163"/>
        <v>2754</v>
      </c>
      <c r="R646" s="219">
        <f t="shared" si="164"/>
        <v>9.5288400000000006</v>
      </c>
      <c r="S646" s="219">
        <f t="shared" si="165"/>
        <v>10.795679999999999</v>
      </c>
      <c r="T646" s="219">
        <f t="shared" si="166"/>
        <v>65.958299999999994</v>
      </c>
      <c r="U646" s="219">
        <f t="shared" si="167"/>
        <v>0.25257211377440825</v>
      </c>
      <c r="V646" s="188">
        <f t="shared" si="168"/>
        <v>2579736393669733</v>
      </c>
      <c r="W646" s="323">
        <v>0.3805</v>
      </c>
      <c r="X646" s="323">
        <v>0.31630000000000003</v>
      </c>
      <c r="Y646" s="323">
        <v>0.1125</v>
      </c>
      <c r="Z646" s="323">
        <v>4.5900000000000003E-2</v>
      </c>
      <c r="AA646" s="323">
        <v>19.57</v>
      </c>
      <c r="AB646" s="323">
        <v>16.55</v>
      </c>
      <c r="AC646" s="323">
        <v>7.07</v>
      </c>
      <c r="AD646" s="323">
        <v>3.46</v>
      </c>
      <c r="AE646" s="323">
        <v>0.222</v>
      </c>
      <c r="AF646" s="323">
        <v>0.25800000000000001</v>
      </c>
      <c r="AG646" s="323">
        <v>0.65800000000000003</v>
      </c>
      <c r="AH646" s="323">
        <v>3.92</v>
      </c>
      <c r="AI646" s="323">
        <v>0.77</v>
      </c>
      <c r="AJ646" s="323">
        <v>0.97</v>
      </c>
      <c r="AK646" s="323">
        <v>3.93</v>
      </c>
      <c r="AL646" s="323">
        <v>23.95</v>
      </c>
      <c r="AM646" s="323">
        <v>2.0969215231583453E-2</v>
      </c>
      <c r="AN646" s="323">
        <v>8.9475694954526275E-3</v>
      </c>
      <c r="AO646" s="323">
        <v>1.4542936875698315E-2</v>
      </c>
      <c r="AP646" s="323">
        <v>1.8564607180249906E-2</v>
      </c>
      <c r="AQ646" s="323">
        <v>9.5459215231583461E-2</v>
      </c>
      <c r="AR646" s="323">
        <v>7.7515569495452616E-2</v>
      </c>
      <c r="AS646" s="323">
        <v>0.10051543687569831</v>
      </c>
      <c r="AT646" s="323">
        <v>9.1711007180249909E-2</v>
      </c>
      <c r="AU646" s="190">
        <v>132256742217809.88</v>
      </c>
      <c r="AV646" s="190">
        <v>56433985686485.656</v>
      </c>
      <c r="AW646" s="190">
        <v>733800071091691.13</v>
      </c>
      <c r="AX646" s="190">
        <v>936723454491551.5</v>
      </c>
      <c r="AY646" s="203">
        <v>1.4</v>
      </c>
      <c r="AZ646" s="239">
        <v>34.74</v>
      </c>
      <c r="BA646" s="203">
        <v>1995</v>
      </c>
      <c r="BB646" s="204">
        <v>37953</v>
      </c>
      <c r="BC646" s="203" t="s">
        <v>2453</v>
      </c>
    </row>
    <row r="647" spans="1:55" x14ac:dyDescent="0.2">
      <c r="A647" s="184" t="s">
        <v>2467</v>
      </c>
      <c r="B647" s="184" t="s">
        <v>2466</v>
      </c>
      <c r="C647" s="184" t="s">
        <v>934</v>
      </c>
      <c r="D647" s="185" t="s">
        <v>1043</v>
      </c>
      <c r="E647" s="184" t="s">
        <v>2465</v>
      </c>
      <c r="F647" s="184" t="s">
        <v>2465</v>
      </c>
      <c r="G647" s="186">
        <f>IF(ALECA_Input!$F$13="ICAO (3000ft)",'Aircraft Calc'!C$211,'Aircraft Calc'!G$211)</f>
        <v>0.7</v>
      </c>
      <c r="H647" s="186">
        <f>IF(ALECA_Input!$F$13="ICAO (3000ft)",'Aircraft Calc'!D$211,'Aircraft Calc'!H$211)</f>
        <v>2.2000000000000002</v>
      </c>
      <c r="I647" s="186">
        <f>IF(ALECA_Input!$F$13="ICAO (3000ft)",'Aircraft Calc'!E$211,'Aircraft Calc'!I$211)</f>
        <v>4</v>
      </c>
      <c r="J647" s="189">
        <v>1</v>
      </c>
      <c r="K647" s="187">
        <f t="shared" si="157"/>
        <v>84.732600000000005</v>
      </c>
      <c r="L647" s="187">
        <f t="shared" si="158"/>
        <v>1.3635947940000002</v>
      </c>
      <c r="M647" s="187">
        <f t="shared" si="159"/>
        <v>4.8599999999999997E-3</v>
      </c>
      <c r="N647" s="187">
        <f t="shared" si="160"/>
        <v>3.78E-2</v>
      </c>
      <c r="O647" s="187">
        <f t="shared" si="161"/>
        <v>5.3143426736525778E-3</v>
      </c>
      <c r="P647" s="188">
        <f t="shared" si="162"/>
        <v>2.2964935296189484E+16</v>
      </c>
      <c r="Q647" s="187">
        <f t="shared" si="163"/>
        <v>2754</v>
      </c>
      <c r="R647" s="219">
        <f t="shared" si="164"/>
        <v>8.7852599999999992</v>
      </c>
      <c r="S647" s="219">
        <f t="shared" si="165"/>
        <v>14.045399999999999</v>
      </c>
      <c r="T647" s="219">
        <f t="shared" si="166"/>
        <v>90.441360000000003</v>
      </c>
      <c r="U647" s="219">
        <f t="shared" si="167"/>
        <v>0.27262288617440822</v>
      </c>
      <c r="V647" s="188">
        <f t="shared" si="168"/>
        <v>2579736393669733</v>
      </c>
      <c r="W647" s="323">
        <v>0.3805</v>
      </c>
      <c r="X647" s="323">
        <v>0.31630000000000003</v>
      </c>
      <c r="Y647" s="323">
        <v>0.1125</v>
      </c>
      <c r="Z647" s="323">
        <v>4.5900000000000003E-2</v>
      </c>
      <c r="AA647" s="323">
        <v>22.31</v>
      </c>
      <c r="AB647" s="323">
        <v>19.489999999999998</v>
      </c>
      <c r="AC647" s="323">
        <v>7.16</v>
      </c>
      <c r="AD647" s="323">
        <v>3.19</v>
      </c>
      <c r="AE647" s="323">
        <v>0</v>
      </c>
      <c r="AF647" s="323">
        <v>0</v>
      </c>
      <c r="AG647" s="323">
        <v>0.18</v>
      </c>
      <c r="AH647" s="323">
        <v>5.0999999999999996</v>
      </c>
      <c r="AI647" s="323">
        <v>0</v>
      </c>
      <c r="AJ647" s="323">
        <v>0</v>
      </c>
      <c r="AK647" s="323">
        <v>1.4</v>
      </c>
      <c r="AL647" s="323">
        <v>32.840000000000003</v>
      </c>
      <c r="AM647" s="323">
        <v>7.8984381116565631E-3</v>
      </c>
      <c r="AN647" s="323">
        <v>8.9475694954526275E-3</v>
      </c>
      <c r="AO647" s="323">
        <v>1.4542936875698315E-2</v>
      </c>
      <c r="AP647" s="323">
        <v>1.8564607180249906E-2</v>
      </c>
      <c r="AQ647" s="323">
        <v>5.6858438111656556E-2</v>
      </c>
      <c r="AR647" s="323">
        <v>5.7907569495452629E-2</v>
      </c>
      <c r="AS647" s="323">
        <v>7.362793687569831E-2</v>
      </c>
      <c r="AT647" s="323">
        <v>9.8991607180249908E-2</v>
      </c>
      <c r="AU647" s="190">
        <v>49816918836490.211</v>
      </c>
      <c r="AV647" s="190">
        <v>56433985686485.656</v>
      </c>
      <c r="AW647" s="190">
        <v>733800071091691.13</v>
      </c>
      <c r="AX647" s="190">
        <v>936723454491551.5</v>
      </c>
      <c r="AY647" s="203">
        <v>1.6</v>
      </c>
      <c r="AZ647" s="239">
        <v>34.74</v>
      </c>
      <c r="BA647" s="203">
        <v>2002</v>
      </c>
      <c r="BB647" s="204">
        <v>37953</v>
      </c>
      <c r="BC647" s="203" t="s">
        <v>2468</v>
      </c>
    </row>
    <row r="648" spans="1:55" x14ac:dyDescent="0.2">
      <c r="A648" s="184" t="s">
        <v>2470</v>
      </c>
      <c r="B648" s="184" t="s">
        <v>2469</v>
      </c>
      <c r="C648" s="184" t="s">
        <v>934</v>
      </c>
      <c r="D648" s="185" t="s">
        <v>1043</v>
      </c>
      <c r="E648" s="184" t="s">
        <v>2465</v>
      </c>
      <c r="F648" s="184" t="s">
        <v>2465</v>
      </c>
      <c r="G648" s="186">
        <f>IF(ALECA_Input!$F$13="ICAO (3000ft)",'Aircraft Calc'!C$211,'Aircraft Calc'!G$211)</f>
        <v>0.7</v>
      </c>
      <c r="H648" s="186">
        <f>IF(ALECA_Input!$F$13="ICAO (3000ft)",'Aircraft Calc'!D$211,'Aircraft Calc'!H$211)</f>
        <v>2.2000000000000002</v>
      </c>
      <c r="I648" s="186">
        <f>IF(ALECA_Input!$F$13="ICAO (3000ft)",'Aircraft Calc'!E$211,'Aircraft Calc'!I$211)</f>
        <v>4</v>
      </c>
      <c r="J648" s="189">
        <v>1</v>
      </c>
      <c r="K648" s="187">
        <f t="shared" si="157"/>
        <v>84.732600000000005</v>
      </c>
      <c r="L648" s="187">
        <f t="shared" si="158"/>
        <v>1.0344740160000001</v>
      </c>
      <c r="M648" s="187">
        <f t="shared" si="159"/>
        <v>2.5419780000000003E-3</v>
      </c>
      <c r="N648" s="187">
        <f t="shared" si="160"/>
        <v>0.21838932</v>
      </c>
      <c r="O648" s="187">
        <f t="shared" si="161"/>
        <v>5.2368582716525785E-3</v>
      </c>
      <c r="P648" s="188">
        <f t="shared" si="162"/>
        <v>2.2964935296189484E+16</v>
      </c>
      <c r="Q648" s="187">
        <f t="shared" si="163"/>
        <v>2754</v>
      </c>
      <c r="R648" s="219">
        <f t="shared" si="164"/>
        <v>11.48418</v>
      </c>
      <c r="S648" s="219">
        <f t="shared" si="165"/>
        <v>10.68552</v>
      </c>
      <c r="T648" s="219">
        <f t="shared" si="166"/>
        <v>110.35278</v>
      </c>
      <c r="U648" s="219">
        <f t="shared" si="167"/>
        <v>0.25189242657440819</v>
      </c>
      <c r="V648" s="188">
        <f t="shared" si="168"/>
        <v>2579736393669733</v>
      </c>
      <c r="W648" s="323">
        <v>0.3805</v>
      </c>
      <c r="X648" s="323">
        <v>0.31630000000000003</v>
      </c>
      <c r="Y648" s="323">
        <v>0.1125</v>
      </c>
      <c r="Z648" s="323">
        <v>4.5900000000000003E-2</v>
      </c>
      <c r="AA648" s="323">
        <v>16.100000000000001</v>
      </c>
      <c r="AB648" s="323">
        <v>14.01</v>
      </c>
      <c r="AC648" s="323">
        <v>7.12</v>
      </c>
      <c r="AD648" s="323">
        <v>4.17</v>
      </c>
      <c r="AE648" s="323">
        <v>0.03</v>
      </c>
      <c r="AF648" s="323">
        <v>0.03</v>
      </c>
      <c r="AG648" s="323">
        <v>0.03</v>
      </c>
      <c r="AH648" s="323">
        <v>3.88</v>
      </c>
      <c r="AI648" s="323">
        <v>0.74</v>
      </c>
      <c r="AJ648" s="323">
        <v>0.55000000000000004</v>
      </c>
      <c r="AK648" s="323">
        <v>6.8</v>
      </c>
      <c r="AL648" s="323">
        <v>40.07</v>
      </c>
      <c r="AM648" s="323">
        <v>7.8984381116565631E-3</v>
      </c>
      <c r="AN648" s="323">
        <v>8.9475694954526275E-3</v>
      </c>
      <c r="AO648" s="323">
        <v>1.4542936875698315E-2</v>
      </c>
      <c r="AP648" s="323">
        <v>1.8564607180249906E-2</v>
      </c>
      <c r="AQ648" s="323">
        <v>6.0308438111656565E-2</v>
      </c>
      <c r="AR648" s="323">
        <v>6.018756949545262E-2</v>
      </c>
      <c r="AS648" s="323">
        <v>6.5190436875698324E-2</v>
      </c>
      <c r="AT648" s="323">
        <v>9.146420718024989E-2</v>
      </c>
      <c r="AU648" s="190">
        <v>49816918836490.211</v>
      </c>
      <c r="AV648" s="190">
        <v>56433985686485.656</v>
      </c>
      <c r="AW648" s="190">
        <v>733800071091691.13</v>
      </c>
      <c r="AX648" s="190">
        <v>936723454491551.5</v>
      </c>
      <c r="AY648" s="203">
        <v>1.3</v>
      </c>
      <c r="AZ648" s="239">
        <v>34.74</v>
      </c>
      <c r="BA648" s="203">
        <v>2001</v>
      </c>
      <c r="BB648" s="204">
        <v>37953</v>
      </c>
      <c r="BC648" s="203" t="s">
        <v>2462</v>
      </c>
    </row>
    <row r="649" spans="1:55" x14ac:dyDescent="0.2">
      <c r="A649" s="184" t="s">
        <v>2472</v>
      </c>
      <c r="B649" s="184" t="s">
        <v>2471</v>
      </c>
      <c r="C649" s="184" t="s">
        <v>934</v>
      </c>
      <c r="D649" s="185" t="s">
        <v>1043</v>
      </c>
      <c r="E649" s="184" t="s">
        <v>2449</v>
      </c>
      <c r="F649" s="184" t="s">
        <v>2449</v>
      </c>
      <c r="G649" s="186">
        <f>IF(ALECA_Input!$F$13="ICAO (3000ft)",'Aircraft Calc'!C$211,'Aircraft Calc'!G$211)</f>
        <v>0.7</v>
      </c>
      <c r="H649" s="186">
        <f>IF(ALECA_Input!$F$13="ICAO (3000ft)",'Aircraft Calc'!D$211,'Aircraft Calc'!H$211)</f>
        <v>2.2000000000000002</v>
      </c>
      <c r="I649" s="186">
        <f>IF(ALECA_Input!$F$13="ICAO (3000ft)",'Aircraft Calc'!E$211,'Aircraft Calc'!I$211)</f>
        <v>4</v>
      </c>
      <c r="J649" s="189">
        <v>1</v>
      </c>
      <c r="K649" s="187">
        <f t="shared" si="157"/>
        <v>80.508600000000001</v>
      </c>
      <c r="L649" s="187">
        <f t="shared" si="158"/>
        <v>1.0820281380000001</v>
      </c>
      <c r="M649" s="187">
        <f t="shared" si="159"/>
        <v>3.19703166E-2</v>
      </c>
      <c r="N649" s="187">
        <f t="shared" si="160"/>
        <v>0.162105738</v>
      </c>
      <c r="O649" s="187">
        <f t="shared" si="161"/>
        <v>7.2101156194866291E-3</v>
      </c>
      <c r="P649" s="188">
        <f t="shared" si="162"/>
        <v>2.3355338402425752E+16</v>
      </c>
      <c r="Q649" s="187">
        <f t="shared" si="163"/>
        <v>2694</v>
      </c>
      <c r="R649" s="219">
        <f t="shared" si="164"/>
        <v>9.1326599999999996</v>
      </c>
      <c r="S649" s="219">
        <f t="shared" si="165"/>
        <v>12.500159999999999</v>
      </c>
      <c r="T649" s="219">
        <f t="shared" si="166"/>
        <v>68.912520000000001</v>
      </c>
      <c r="U649" s="219">
        <f t="shared" si="167"/>
        <v>0.2593834304796791</v>
      </c>
      <c r="V649" s="188">
        <f t="shared" si="168"/>
        <v>2540998923573684.5</v>
      </c>
      <c r="W649" s="323">
        <v>0.3589</v>
      </c>
      <c r="X649" s="323">
        <v>0.2999</v>
      </c>
      <c r="Y649" s="323">
        <v>0.1077</v>
      </c>
      <c r="Z649" s="323">
        <v>4.4900000000000002E-2</v>
      </c>
      <c r="AA649" s="323">
        <v>18.55</v>
      </c>
      <c r="AB649" s="323">
        <v>15.81</v>
      </c>
      <c r="AC649" s="323">
        <v>6.83</v>
      </c>
      <c r="AD649" s="323">
        <v>3.39</v>
      </c>
      <c r="AE649" s="323">
        <v>0.23300000000000001</v>
      </c>
      <c r="AF649" s="323">
        <v>0.26900000000000002</v>
      </c>
      <c r="AG649" s="323">
        <v>0.68899999999999995</v>
      </c>
      <c r="AH649" s="323">
        <v>4.6399999999999997</v>
      </c>
      <c r="AI649" s="323">
        <v>0.83</v>
      </c>
      <c r="AJ649" s="323">
        <v>1.03</v>
      </c>
      <c r="AK649" s="323">
        <v>4.21</v>
      </c>
      <c r="AL649" s="323">
        <v>25.58</v>
      </c>
      <c r="AM649" s="323">
        <v>2.1114031141741978E-2</v>
      </c>
      <c r="AN649" s="323">
        <v>9.0093900622621043E-3</v>
      </c>
      <c r="AO649" s="323">
        <v>1.4643546817760792E-2</v>
      </c>
      <c r="AP649" s="323">
        <v>1.8693096985775474E-2</v>
      </c>
      <c r="AQ649" s="323">
        <v>9.6869031141741974E-2</v>
      </c>
      <c r="AR649" s="323">
        <v>7.8413390062262098E-2</v>
      </c>
      <c r="AS649" s="323">
        <v>0.10235979681776079</v>
      </c>
      <c r="AT649" s="323">
        <v>9.6281896985775467E-2</v>
      </c>
      <c r="AU649" s="190">
        <v>133170123109147.48</v>
      </c>
      <c r="AV649" s="190">
        <v>56823899504336.352</v>
      </c>
      <c r="AW649" s="190">
        <v>738876596092727.5</v>
      </c>
      <c r="AX649" s="190">
        <v>943206727384441.25</v>
      </c>
      <c r="AY649" s="203">
        <v>1.3</v>
      </c>
      <c r="AZ649" s="239">
        <v>33.049999999999997</v>
      </c>
      <c r="BA649" s="203">
        <v>1995</v>
      </c>
      <c r="BB649" s="204">
        <v>37953</v>
      </c>
      <c r="BC649" s="203" t="s">
        <v>2453</v>
      </c>
    </row>
    <row r="650" spans="1:55" x14ac:dyDescent="0.2">
      <c r="A650" s="184" t="s">
        <v>2474</v>
      </c>
      <c r="B650" s="184" t="s">
        <v>2473</v>
      </c>
      <c r="C650" s="184" t="s">
        <v>934</v>
      </c>
      <c r="D650" s="185" t="s">
        <v>1043</v>
      </c>
      <c r="E650" s="184" t="s">
        <v>2449</v>
      </c>
      <c r="F650" s="184" t="s">
        <v>2449</v>
      </c>
      <c r="G650" s="186">
        <f>IF(ALECA_Input!$F$13="ICAO (3000ft)",'Aircraft Calc'!C$211,'Aircraft Calc'!G$211)</f>
        <v>0.7</v>
      </c>
      <c r="H650" s="186">
        <f>IF(ALECA_Input!$F$13="ICAO (3000ft)",'Aircraft Calc'!D$211,'Aircraft Calc'!H$211)</f>
        <v>2.2000000000000002</v>
      </c>
      <c r="I650" s="186">
        <f>IF(ALECA_Input!$F$13="ICAO (3000ft)",'Aircraft Calc'!E$211,'Aircraft Calc'!I$211)</f>
        <v>4</v>
      </c>
      <c r="J650" s="189">
        <v>1</v>
      </c>
      <c r="K650" s="187">
        <f t="shared" si="157"/>
        <v>80.508600000000001</v>
      </c>
      <c r="L650" s="187">
        <f t="shared" si="158"/>
        <v>1.2343755240000003</v>
      </c>
      <c r="M650" s="187">
        <f t="shared" si="159"/>
        <v>5.4280800000000001E-3</v>
      </c>
      <c r="N650" s="187">
        <f t="shared" si="160"/>
        <v>4.7301840000000005E-2</v>
      </c>
      <c r="O650" s="187">
        <f t="shared" si="161"/>
        <v>5.1020715920638213E-3</v>
      </c>
      <c r="P650" s="188">
        <f t="shared" si="162"/>
        <v>2.2104074886190736E+16</v>
      </c>
      <c r="Q650" s="187">
        <f t="shared" si="163"/>
        <v>2694</v>
      </c>
      <c r="R650" s="219">
        <f t="shared" si="164"/>
        <v>8.8632600000000004</v>
      </c>
      <c r="S650" s="219">
        <f t="shared" si="165"/>
        <v>14.08962</v>
      </c>
      <c r="T650" s="219">
        <f t="shared" si="166"/>
        <v>87.285599999999988</v>
      </c>
      <c r="U650" s="219">
        <f t="shared" si="167"/>
        <v>0.26919039867967914</v>
      </c>
      <c r="V650" s="188">
        <f t="shared" si="168"/>
        <v>2540998923573684.5</v>
      </c>
      <c r="W650" s="323">
        <v>0.3589</v>
      </c>
      <c r="X650" s="323">
        <v>0.2999</v>
      </c>
      <c r="Y650" s="323">
        <v>0.1077</v>
      </c>
      <c r="Z650" s="323">
        <v>4.4900000000000002E-2</v>
      </c>
      <c r="AA650" s="323">
        <v>21.26</v>
      </c>
      <c r="AB650" s="323">
        <v>18.62</v>
      </c>
      <c r="AC650" s="323">
        <v>6.84</v>
      </c>
      <c r="AD650" s="323">
        <v>3.29</v>
      </c>
      <c r="AE650" s="323">
        <v>0</v>
      </c>
      <c r="AF650" s="323">
        <v>0</v>
      </c>
      <c r="AG650" s="323">
        <v>0.21</v>
      </c>
      <c r="AH650" s="323">
        <v>5.23</v>
      </c>
      <c r="AI650" s="323">
        <v>0</v>
      </c>
      <c r="AJ650" s="323">
        <v>0</v>
      </c>
      <c r="AK650" s="323">
        <v>1.83</v>
      </c>
      <c r="AL650" s="323">
        <v>32.4</v>
      </c>
      <c r="AM650" s="323">
        <v>7.9529856706060977E-3</v>
      </c>
      <c r="AN650" s="323">
        <v>9.0093900622621043E-3</v>
      </c>
      <c r="AO650" s="323">
        <v>1.4643546817760792E-2</v>
      </c>
      <c r="AP650" s="323">
        <v>1.8693096985775474E-2</v>
      </c>
      <c r="AQ650" s="323">
        <v>5.6912985670606098E-2</v>
      </c>
      <c r="AR650" s="323">
        <v>5.7969390062262108E-2</v>
      </c>
      <c r="AS650" s="323">
        <v>7.541604681776079E-2</v>
      </c>
      <c r="AT650" s="323">
        <v>9.992219698577548E-2</v>
      </c>
      <c r="AU650" s="190">
        <v>50160960440476.109</v>
      </c>
      <c r="AV650" s="190">
        <v>56823899504336.352</v>
      </c>
      <c r="AW650" s="190">
        <v>738876596092727.5</v>
      </c>
      <c r="AX650" s="190">
        <v>943206727384441.25</v>
      </c>
      <c r="AY650" s="203">
        <v>1.5</v>
      </c>
      <c r="AZ650" s="239">
        <v>33.049999999999997</v>
      </c>
      <c r="BA650" s="203">
        <v>2002</v>
      </c>
      <c r="BB650" s="204">
        <v>37953</v>
      </c>
      <c r="BC650" s="203" t="s">
        <v>2468</v>
      </c>
    </row>
    <row r="651" spans="1:55" x14ac:dyDescent="0.2">
      <c r="A651" s="184" t="s">
        <v>2476</v>
      </c>
      <c r="B651" s="184" t="s">
        <v>2475</v>
      </c>
      <c r="C651" s="184" t="s">
        <v>934</v>
      </c>
      <c r="D651" s="185" t="s">
        <v>1043</v>
      </c>
      <c r="E651" s="184" t="s">
        <v>2449</v>
      </c>
      <c r="F651" s="184" t="s">
        <v>2449</v>
      </c>
      <c r="G651" s="186">
        <f>IF(ALECA_Input!$F$13="ICAO (3000ft)",'Aircraft Calc'!C$211,'Aircraft Calc'!G$211)</f>
        <v>0.7</v>
      </c>
      <c r="H651" s="186">
        <f>IF(ALECA_Input!$F$13="ICAO (3000ft)",'Aircraft Calc'!D$211,'Aircraft Calc'!H$211)</f>
        <v>2.2000000000000002</v>
      </c>
      <c r="I651" s="186">
        <f>IF(ALECA_Input!$F$13="ICAO (3000ft)",'Aircraft Calc'!E$211,'Aircraft Calc'!I$211)</f>
        <v>4</v>
      </c>
      <c r="J651" s="189">
        <v>1</v>
      </c>
      <c r="K651" s="187">
        <f t="shared" si="157"/>
        <v>80.508600000000001</v>
      </c>
      <c r="L651" s="187">
        <f t="shared" si="158"/>
        <v>0.94559056800000008</v>
      </c>
      <c r="M651" s="187">
        <f t="shared" si="159"/>
        <v>2.415258E-3</v>
      </c>
      <c r="N651" s="187">
        <f t="shared" si="160"/>
        <v>0.22429206000000002</v>
      </c>
      <c r="O651" s="187">
        <f t="shared" si="161"/>
        <v>4.9826231060638203E-3</v>
      </c>
      <c r="P651" s="188">
        <f t="shared" si="162"/>
        <v>2.2104074886190736E+16</v>
      </c>
      <c r="Q651" s="187">
        <f t="shared" si="163"/>
        <v>2694</v>
      </c>
      <c r="R651" s="219">
        <f t="shared" si="164"/>
        <v>11.503379999999998</v>
      </c>
      <c r="S651" s="219">
        <f t="shared" si="165"/>
        <v>10.264139999999999</v>
      </c>
      <c r="T651" s="219">
        <f t="shared" si="166"/>
        <v>103.63817999999999</v>
      </c>
      <c r="U651" s="219">
        <f t="shared" si="167"/>
        <v>0.24558718707967914</v>
      </c>
      <c r="V651" s="188">
        <f t="shared" si="168"/>
        <v>2540998923573684.5</v>
      </c>
      <c r="W651" s="323">
        <v>0.3589</v>
      </c>
      <c r="X651" s="323">
        <v>0.2999</v>
      </c>
      <c r="Y651" s="323">
        <v>0.1077</v>
      </c>
      <c r="Z651" s="323">
        <v>4.4900000000000002E-2</v>
      </c>
      <c r="AA651" s="323">
        <v>15.42</v>
      </c>
      <c r="AB651" s="323">
        <v>13.49</v>
      </c>
      <c r="AC651" s="323">
        <v>6.93</v>
      </c>
      <c r="AD651" s="323">
        <v>4.2699999999999996</v>
      </c>
      <c r="AE651" s="323">
        <v>0.03</v>
      </c>
      <c r="AF651" s="323">
        <v>0.03</v>
      </c>
      <c r="AG651" s="323">
        <v>0.03</v>
      </c>
      <c r="AH651" s="323">
        <v>3.81</v>
      </c>
      <c r="AI651" s="323">
        <v>0.5</v>
      </c>
      <c r="AJ651" s="323">
        <v>0.5</v>
      </c>
      <c r="AK651" s="323">
        <v>7.62</v>
      </c>
      <c r="AL651" s="323">
        <v>38.47</v>
      </c>
      <c r="AM651" s="323">
        <v>7.9529856706060977E-3</v>
      </c>
      <c r="AN651" s="323">
        <v>9.0093900622621043E-3</v>
      </c>
      <c r="AO651" s="323">
        <v>1.4643546817760792E-2</v>
      </c>
      <c r="AP651" s="323">
        <v>1.8693096985775474E-2</v>
      </c>
      <c r="AQ651" s="323">
        <v>6.0362985670606092E-2</v>
      </c>
      <c r="AR651" s="323">
        <v>6.0249390062262098E-2</v>
      </c>
      <c r="AS651" s="323">
        <v>6.5291046817760795E-2</v>
      </c>
      <c r="AT651" s="323">
        <v>9.1160796985775477E-2</v>
      </c>
      <c r="AU651" s="190">
        <v>50160960440476.109</v>
      </c>
      <c r="AV651" s="190">
        <v>56823899504336.352</v>
      </c>
      <c r="AW651" s="190">
        <v>738876596092727.5</v>
      </c>
      <c r="AX651" s="190">
        <v>943206727384441.25</v>
      </c>
      <c r="AY651" s="203">
        <v>1.2</v>
      </c>
      <c r="AZ651" s="239">
        <v>33.049999999999997</v>
      </c>
      <c r="BA651" s="203">
        <v>2001</v>
      </c>
      <c r="BB651" s="204">
        <v>37953</v>
      </c>
      <c r="BC651" s="203" t="s">
        <v>2462</v>
      </c>
    </row>
    <row r="652" spans="1:55" x14ac:dyDescent="0.2">
      <c r="A652" s="184" t="s">
        <v>2478</v>
      </c>
      <c r="B652" s="184" t="s">
        <v>2477</v>
      </c>
      <c r="C652" s="184" t="s">
        <v>934</v>
      </c>
      <c r="D652" s="185" t="s">
        <v>1043</v>
      </c>
      <c r="E652" s="184" t="s">
        <v>2479</v>
      </c>
      <c r="F652" s="184" t="s">
        <v>2479</v>
      </c>
      <c r="G652" s="186">
        <f>IF(ALECA_Input!$F$13="ICAO (3000ft)",'Aircraft Calc'!C$211,'Aircraft Calc'!G$211)</f>
        <v>0.7</v>
      </c>
      <c r="H652" s="186">
        <f>IF(ALECA_Input!$F$13="ICAO (3000ft)",'Aircraft Calc'!D$211,'Aircraft Calc'!H$211)</f>
        <v>2.2000000000000002</v>
      </c>
      <c r="I652" s="186">
        <f>IF(ALECA_Input!$F$13="ICAO (3000ft)",'Aircraft Calc'!E$211,'Aircraft Calc'!I$211)</f>
        <v>4</v>
      </c>
      <c r="J652" s="189">
        <v>1</v>
      </c>
      <c r="K652" s="187">
        <f t="shared" si="157"/>
        <v>84.760800000000017</v>
      </c>
      <c r="L652" s="187">
        <f t="shared" si="158"/>
        <v>1.1952965400000002</v>
      </c>
      <c r="M652" s="187">
        <f t="shared" si="159"/>
        <v>3.210241920000001E-2</v>
      </c>
      <c r="N652" s="187">
        <f t="shared" si="160"/>
        <v>0.159011976</v>
      </c>
      <c r="O652" s="187">
        <f t="shared" si="161"/>
        <v>7.4786628647951188E-3</v>
      </c>
      <c r="P652" s="188">
        <f t="shared" si="162"/>
        <v>2.4300572793669868E+16</v>
      </c>
      <c r="Q652" s="187">
        <f t="shared" si="163"/>
        <v>2760</v>
      </c>
      <c r="R652" s="219">
        <f t="shared" si="164"/>
        <v>9.5771999999999995</v>
      </c>
      <c r="S652" s="219">
        <f t="shared" si="165"/>
        <v>10.625999999999999</v>
      </c>
      <c r="T652" s="219">
        <f t="shared" si="166"/>
        <v>65.688000000000002</v>
      </c>
      <c r="U652" s="219">
        <f t="shared" si="167"/>
        <v>0.25193033581748969</v>
      </c>
      <c r="V652" s="188">
        <f t="shared" si="168"/>
        <v>2585356734396682</v>
      </c>
      <c r="W652" s="323">
        <v>0.38059999999999999</v>
      </c>
      <c r="X652" s="323">
        <v>0.31630000000000003</v>
      </c>
      <c r="Y652" s="323">
        <v>0.11260000000000001</v>
      </c>
      <c r="Z652" s="323">
        <v>4.5999999999999999E-2</v>
      </c>
      <c r="AA652" s="323">
        <v>19.57</v>
      </c>
      <c r="AB652" s="323">
        <v>16.559999999999999</v>
      </c>
      <c r="AC652" s="323">
        <v>7.07</v>
      </c>
      <c r="AD652" s="323">
        <v>3.47</v>
      </c>
      <c r="AE652" s="323">
        <v>0.222</v>
      </c>
      <c r="AF652" s="323">
        <v>0.25800000000000001</v>
      </c>
      <c r="AG652" s="323">
        <v>0.65800000000000003</v>
      </c>
      <c r="AH652" s="323">
        <v>3.85</v>
      </c>
      <c r="AI652" s="323">
        <v>0.77</v>
      </c>
      <c r="AJ652" s="323">
        <v>0.97</v>
      </c>
      <c r="AK652" s="323">
        <v>3.93</v>
      </c>
      <c r="AL652" s="323">
        <v>23.8</v>
      </c>
      <c r="AM652" s="323">
        <v>2.0969215231583453E-2</v>
      </c>
      <c r="AN652" s="323">
        <v>8.9475694954526275E-3</v>
      </c>
      <c r="AO652" s="323">
        <v>1.4542936875698315E-2</v>
      </c>
      <c r="AP652" s="323">
        <v>1.8564607180249906E-2</v>
      </c>
      <c r="AQ652" s="323">
        <v>9.5459215231583461E-2</v>
      </c>
      <c r="AR652" s="323">
        <v>7.7515569495452616E-2</v>
      </c>
      <c r="AS652" s="323">
        <v>0.10051543687569831</v>
      </c>
      <c r="AT652" s="323">
        <v>9.1279107180249897E-2</v>
      </c>
      <c r="AU652" s="190">
        <v>132256742217809.88</v>
      </c>
      <c r="AV652" s="190">
        <v>56433985686485.656</v>
      </c>
      <c r="AW652" s="190">
        <v>733800071091691.13</v>
      </c>
      <c r="AX652" s="190">
        <v>936723454491551.5</v>
      </c>
      <c r="AY652" s="203">
        <v>1.4</v>
      </c>
      <c r="AZ652" s="239">
        <v>34.74</v>
      </c>
      <c r="BA652" s="203">
        <v>1995</v>
      </c>
      <c r="BB652" s="204">
        <v>37953</v>
      </c>
      <c r="BC652" s="203" t="s">
        <v>2453</v>
      </c>
    </row>
    <row r="653" spans="1:55" x14ac:dyDescent="0.2">
      <c r="A653" s="184" t="s">
        <v>679</v>
      </c>
      <c r="B653" s="184" t="s">
        <v>2480</v>
      </c>
      <c r="C653" s="184" t="s">
        <v>934</v>
      </c>
      <c r="D653" s="185" t="s">
        <v>1043</v>
      </c>
      <c r="E653" s="184" t="s">
        <v>2479</v>
      </c>
      <c r="F653" s="184" t="s">
        <v>2479</v>
      </c>
      <c r="G653" s="186">
        <f>IF(ALECA_Input!$F$13="ICAO (3000ft)",'Aircraft Calc'!C$211,'Aircraft Calc'!G$211)</f>
        <v>0.7</v>
      </c>
      <c r="H653" s="186">
        <f>IF(ALECA_Input!$F$13="ICAO (3000ft)",'Aircraft Calc'!D$211,'Aircraft Calc'!H$211)</f>
        <v>2.2000000000000002</v>
      </c>
      <c r="I653" s="186">
        <f>IF(ALECA_Input!$F$13="ICAO (3000ft)",'Aircraft Calc'!E$211,'Aircraft Calc'!I$211)</f>
        <v>4</v>
      </c>
      <c r="J653" s="189">
        <v>1</v>
      </c>
      <c r="K653" s="187">
        <f t="shared" si="157"/>
        <v>84.760800000000017</v>
      </c>
      <c r="L653" s="187">
        <f t="shared" si="158"/>
        <v>1.3381501200000001</v>
      </c>
      <c r="M653" s="187">
        <f t="shared" si="159"/>
        <v>5.1345600000000007E-3</v>
      </c>
      <c r="N653" s="187">
        <f t="shared" si="160"/>
        <v>4.0806240000000001E-2</v>
      </c>
      <c r="O653" s="187">
        <f t="shared" si="161"/>
        <v>5.3315495495776643E-3</v>
      </c>
      <c r="P653" s="188">
        <f t="shared" si="162"/>
        <v>2.29827557289548E+16</v>
      </c>
      <c r="Q653" s="187">
        <f t="shared" si="163"/>
        <v>2760</v>
      </c>
      <c r="R653" s="219">
        <f t="shared" si="164"/>
        <v>8.8043999999999993</v>
      </c>
      <c r="S653" s="219">
        <f t="shared" si="165"/>
        <v>13.965599999999998</v>
      </c>
      <c r="T653" s="219">
        <f t="shared" si="166"/>
        <v>90.196799999999996</v>
      </c>
      <c r="U653" s="219">
        <f t="shared" si="167"/>
        <v>0.27253566781748967</v>
      </c>
      <c r="V653" s="188">
        <f t="shared" si="168"/>
        <v>2585356734396682</v>
      </c>
      <c r="W653" s="323">
        <v>0.38059999999999999</v>
      </c>
      <c r="X653" s="323">
        <v>0.31630000000000003</v>
      </c>
      <c r="Y653" s="323">
        <v>0.11260000000000001</v>
      </c>
      <c r="Z653" s="323">
        <v>4.5999999999999999E-2</v>
      </c>
      <c r="AA653" s="323">
        <v>22.02</v>
      </c>
      <c r="AB653" s="323">
        <v>19.16</v>
      </c>
      <c r="AC653" s="323">
        <v>6.89</v>
      </c>
      <c r="AD653" s="323">
        <v>3.19</v>
      </c>
      <c r="AE653" s="323">
        <v>0</v>
      </c>
      <c r="AF653" s="323">
        <v>0</v>
      </c>
      <c r="AG653" s="323">
        <v>0.19</v>
      </c>
      <c r="AH653" s="323">
        <v>5.0599999999999996</v>
      </c>
      <c r="AI653" s="323">
        <v>0</v>
      </c>
      <c r="AJ653" s="323">
        <v>0</v>
      </c>
      <c r="AK653" s="323">
        <v>1.51</v>
      </c>
      <c r="AL653" s="323">
        <v>32.68</v>
      </c>
      <c r="AM653" s="323">
        <v>7.8984381116565631E-3</v>
      </c>
      <c r="AN653" s="323">
        <v>8.9475694954526275E-3</v>
      </c>
      <c r="AO653" s="323">
        <v>1.4542936875698315E-2</v>
      </c>
      <c r="AP653" s="323">
        <v>1.8564607180249906E-2</v>
      </c>
      <c r="AQ653" s="323">
        <v>5.6858438111656556E-2</v>
      </c>
      <c r="AR653" s="323">
        <v>5.7907569495452629E-2</v>
      </c>
      <c r="AS653" s="323">
        <v>7.4190436875698304E-2</v>
      </c>
      <c r="AT653" s="323">
        <v>9.8744807180249888E-2</v>
      </c>
      <c r="AU653" s="190">
        <v>49816918836490.211</v>
      </c>
      <c r="AV653" s="190">
        <v>56433985686485.656</v>
      </c>
      <c r="AW653" s="190">
        <v>733800071091691.13</v>
      </c>
      <c r="AX653" s="190">
        <v>936723454491551.5</v>
      </c>
      <c r="AY653" s="203">
        <v>1.6</v>
      </c>
      <c r="AZ653" s="239">
        <v>34.74</v>
      </c>
      <c r="BA653" s="203">
        <v>2002</v>
      </c>
      <c r="BB653" s="204">
        <v>37953</v>
      </c>
      <c r="BC653" s="203" t="s">
        <v>2468</v>
      </c>
    </row>
    <row r="654" spans="1:55" x14ac:dyDescent="0.2">
      <c r="A654" s="184" t="s">
        <v>2482</v>
      </c>
      <c r="B654" s="184" t="s">
        <v>2481</v>
      </c>
      <c r="C654" s="184" t="s">
        <v>934</v>
      </c>
      <c r="D654" s="185" t="s">
        <v>1043</v>
      </c>
      <c r="E654" s="184" t="s">
        <v>2479</v>
      </c>
      <c r="F654" s="184" t="s">
        <v>2479</v>
      </c>
      <c r="G654" s="186">
        <f>IF(ALECA_Input!$F$13="ICAO (3000ft)",'Aircraft Calc'!C$211,'Aircraft Calc'!G$211)</f>
        <v>0.7</v>
      </c>
      <c r="H654" s="186">
        <f>IF(ALECA_Input!$F$13="ICAO (3000ft)",'Aircraft Calc'!D$211,'Aircraft Calc'!H$211)</f>
        <v>2.2000000000000002</v>
      </c>
      <c r="I654" s="186">
        <f>IF(ALECA_Input!$F$13="ICAO (3000ft)",'Aircraft Calc'!E$211,'Aircraft Calc'!I$211)</f>
        <v>4</v>
      </c>
      <c r="J654" s="189">
        <v>1</v>
      </c>
      <c r="K654" s="187">
        <f t="shared" si="157"/>
        <v>84.760800000000017</v>
      </c>
      <c r="L654" s="187">
        <f t="shared" si="158"/>
        <v>1.0347125160000001</v>
      </c>
      <c r="M654" s="187">
        <f t="shared" si="159"/>
        <v>2.542824E-3</v>
      </c>
      <c r="N654" s="187">
        <f t="shared" si="160"/>
        <v>0.21828538800000002</v>
      </c>
      <c r="O654" s="187">
        <f t="shared" si="161"/>
        <v>5.2386761375776639E-3</v>
      </c>
      <c r="P654" s="188">
        <f t="shared" si="162"/>
        <v>2.29827557289548E+16</v>
      </c>
      <c r="Q654" s="187">
        <f t="shared" si="163"/>
        <v>2760</v>
      </c>
      <c r="R654" s="219">
        <f t="shared" si="164"/>
        <v>11.509199999999998</v>
      </c>
      <c r="S654" s="219">
        <f t="shared" si="165"/>
        <v>10.653599999999999</v>
      </c>
      <c r="T654" s="219">
        <f t="shared" si="166"/>
        <v>110.31719999999999</v>
      </c>
      <c r="U654" s="219">
        <f t="shared" si="167"/>
        <v>0.25210062781748971</v>
      </c>
      <c r="V654" s="188">
        <f t="shared" si="168"/>
        <v>2585356734396682</v>
      </c>
      <c r="W654" s="323">
        <v>0.38059999999999999</v>
      </c>
      <c r="X654" s="323">
        <v>0.31630000000000003</v>
      </c>
      <c r="Y654" s="323">
        <v>0.11260000000000001</v>
      </c>
      <c r="Z654" s="323">
        <v>4.5999999999999999E-2</v>
      </c>
      <c r="AA654" s="323">
        <v>16.100000000000001</v>
      </c>
      <c r="AB654" s="323">
        <v>14.01</v>
      </c>
      <c r="AC654" s="323">
        <v>7.12</v>
      </c>
      <c r="AD654" s="323">
        <v>4.17</v>
      </c>
      <c r="AE654" s="323">
        <v>0.03</v>
      </c>
      <c r="AF654" s="323">
        <v>0.03</v>
      </c>
      <c r="AG654" s="323">
        <v>0.03</v>
      </c>
      <c r="AH654" s="323">
        <v>3.86</v>
      </c>
      <c r="AI654" s="323">
        <v>0.74</v>
      </c>
      <c r="AJ654" s="323">
        <v>0.55000000000000004</v>
      </c>
      <c r="AK654" s="323">
        <v>6.79</v>
      </c>
      <c r="AL654" s="323">
        <v>39.97</v>
      </c>
      <c r="AM654" s="323">
        <v>7.8984381116565631E-3</v>
      </c>
      <c r="AN654" s="323">
        <v>8.9475694954526275E-3</v>
      </c>
      <c r="AO654" s="323">
        <v>1.4542936875698315E-2</v>
      </c>
      <c r="AP654" s="323">
        <v>1.8564607180249906E-2</v>
      </c>
      <c r="AQ654" s="323">
        <v>6.0308438111656565E-2</v>
      </c>
      <c r="AR654" s="323">
        <v>6.018756949545262E-2</v>
      </c>
      <c r="AS654" s="323">
        <v>6.5190436875698324E-2</v>
      </c>
      <c r="AT654" s="323">
        <v>9.1340807180249894E-2</v>
      </c>
      <c r="AU654" s="190">
        <v>49816918836490.211</v>
      </c>
      <c r="AV654" s="190">
        <v>56433985686485.656</v>
      </c>
      <c r="AW654" s="190">
        <v>733800071091691.13</v>
      </c>
      <c r="AX654" s="190">
        <v>936723454491551.5</v>
      </c>
      <c r="AY654" s="203">
        <v>1.3</v>
      </c>
      <c r="AZ654" s="239">
        <v>34.74</v>
      </c>
      <c r="BA654" s="203">
        <v>2001</v>
      </c>
      <c r="BB654" s="204">
        <v>37953</v>
      </c>
      <c r="BC654" s="203" t="s">
        <v>2462</v>
      </c>
    </row>
    <row r="655" spans="1:55" x14ac:dyDescent="0.2">
      <c r="A655" s="184" t="s">
        <v>2484</v>
      </c>
      <c r="B655" s="184" t="s">
        <v>2483</v>
      </c>
      <c r="C655" s="184" t="s">
        <v>934</v>
      </c>
      <c r="D655" s="185" t="s">
        <v>1043</v>
      </c>
      <c r="E655" s="184" t="s">
        <v>2485</v>
      </c>
      <c r="F655" s="184" t="s">
        <v>2485</v>
      </c>
      <c r="G655" s="186">
        <f>IF(ALECA_Input!$F$13="ICAO (3000ft)",'Aircraft Calc'!C$211,'Aircraft Calc'!G$211)</f>
        <v>0.7</v>
      </c>
      <c r="H655" s="186">
        <f>IF(ALECA_Input!$F$13="ICAO (3000ft)",'Aircraft Calc'!D$211,'Aircraft Calc'!H$211)</f>
        <v>2.2000000000000002</v>
      </c>
      <c r="I655" s="186">
        <f>IF(ALECA_Input!$F$13="ICAO (3000ft)",'Aircraft Calc'!E$211,'Aircraft Calc'!I$211)</f>
        <v>4</v>
      </c>
      <c r="J655" s="189">
        <v>1</v>
      </c>
      <c r="K655" s="187">
        <f t="shared" si="157"/>
        <v>80.406600000000012</v>
      </c>
      <c r="L655" s="187">
        <f t="shared" si="158"/>
        <v>1.079319852</v>
      </c>
      <c r="M655" s="187">
        <f t="shared" si="159"/>
        <v>3.1999063800000005E-2</v>
      </c>
      <c r="N655" s="187">
        <f t="shared" si="160"/>
        <v>0.162187638</v>
      </c>
      <c r="O655" s="187">
        <f t="shared" si="161"/>
        <v>7.1892865969731658E-3</v>
      </c>
      <c r="P655" s="188">
        <f t="shared" si="162"/>
        <v>2.2970672864211472E+16</v>
      </c>
      <c r="Q655" s="187">
        <f t="shared" si="163"/>
        <v>2688</v>
      </c>
      <c r="R655" s="219">
        <f t="shared" si="164"/>
        <v>9.0854400000000002</v>
      </c>
      <c r="S655" s="219">
        <f t="shared" si="165"/>
        <v>12.647040000000001</v>
      </c>
      <c r="T655" s="219">
        <f t="shared" si="166"/>
        <v>69.162240000000011</v>
      </c>
      <c r="U655" s="219">
        <f t="shared" si="167"/>
        <v>0.25910665515394582</v>
      </c>
      <c r="V655" s="188">
        <f t="shared" si="168"/>
        <v>2496128848753182</v>
      </c>
      <c r="W655" s="323">
        <v>0.35830000000000001</v>
      </c>
      <c r="X655" s="323">
        <v>0.29949999999999999</v>
      </c>
      <c r="Y655" s="323">
        <v>0.1076</v>
      </c>
      <c r="Z655" s="323">
        <v>4.48E-2</v>
      </c>
      <c r="AA655" s="323">
        <v>18.52</v>
      </c>
      <c r="AB655" s="323">
        <v>15.79</v>
      </c>
      <c r="AC655" s="323">
        <v>6.83</v>
      </c>
      <c r="AD655" s="323">
        <v>3.38</v>
      </c>
      <c r="AE655" s="323">
        <v>0.23300000000000001</v>
      </c>
      <c r="AF655" s="323">
        <v>0.27</v>
      </c>
      <c r="AG655" s="323">
        <v>0.69</v>
      </c>
      <c r="AH655" s="323">
        <v>4.7050000000000001</v>
      </c>
      <c r="AI655" s="323">
        <v>0.83</v>
      </c>
      <c r="AJ655" s="323">
        <v>1.03</v>
      </c>
      <c r="AK655" s="323">
        <v>4.22</v>
      </c>
      <c r="AL655" s="323">
        <v>25.73</v>
      </c>
      <c r="AM655" s="323">
        <v>2.0788195343885305E-2</v>
      </c>
      <c r="AN655" s="323">
        <v>8.8702937869407864E-3</v>
      </c>
      <c r="AO655" s="323">
        <v>1.4417174448120221E-2</v>
      </c>
      <c r="AP655" s="323">
        <v>1.8403994923342944E-2</v>
      </c>
      <c r="AQ655" s="323">
        <v>9.6543195343885307E-2</v>
      </c>
      <c r="AR655" s="323">
        <v>7.8350293786940792E-2</v>
      </c>
      <c r="AS655" s="323">
        <v>0.10218967444812022</v>
      </c>
      <c r="AT655" s="323">
        <v>9.6393844923342936E-2</v>
      </c>
      <c r="AU655" s="190">
        <v>131115016103637.95</v>
      </c>
      <c r="AV655" s="190">
        <v>55946593414172.305</v>
      </c>
      <c r="AW655" s="190">
        <v>727454414840395.75</v>
      </c>
      <c r="AX655" s="190">
        <v>928619363375439.63</v>
      </c>
      <c r="AY655" s="203">
        <v>1.3</v>
      </c>
      <c r="AZ655" s="239">
        <v>33</v>
      </c>
      <c r="BA655" s="203">
        <v>1995</v>
      </c>
      <c r="BB655" s="204">
        <v>37953</v>
      </c>
      <c r="BC655" s="203" t="s">
        <v>2453</v>
      </c>
    </row>
    <row r="656" spans="1:55" x14ac:dyDescent="0.2">
      <c r="A656" s="184" t="s">
        <v>2487</v>
      </c>
      <c r="B656" s="184" t="s">
        <v>2486</v>
      </c>
      <c r="C656" s="184" t="s">
        <v>934</v>
      </c>
      <c r="D656" s="185" t="s">
        <v>1043</v>
      </c>
      <c r="E656" s="184" t="s">
        <v>2485</v>
      </c>
      <c r="F656" s="184" t="s">
        <v>2485</v>
      </c>
      <c r="G656" s="186">
        <f>IF(ALECA_Input!$F$13="ICAO (3000ft)",'Aircraft Calc'!C$211,'Aircraft Calc'!G$211)</f>
        <v>0.7</v>
      </c>
      <c r="H656" s="186">
        <f>IF(ALECA_Input!$F$13="ICAO (3000ft)",'Aircraft Calc'!D$211,'Aircraft Calc'!H$211)</f>
        <v>2.2000000000000002</v>
      </c>
      <c r="I656" s="186">
        <f>IF(ALECA_Input!$F$13="ICAO (3000ft)",'Aircraft Calc'!E$211,'Aircraft Calc'!I$211)</f>
        <v>4</v>
      </c>
      <c r="J656" s="189">
        <v>1</v>
      </c>
      <c r="K656" s="187">
        <f t="shared" si="157"/>
        <v>80.406600000000012</v>
      </c>
      <c r="L656" s="187">
        <f t="shared" si="158"/>
        <v>1.206658818</v>
      </c>
      <c r="M656" s="187">
        <f t="shared" si="159"/>
        <v>5.9395200000000011E-3</v>
      </c>
      <c r="N656" s="187">
        <f t="shared" si="160"/>
        <v>5.1648000000000006E-2</v>
      </c>
      <c r="O656" s="187">
        <f t="shared" si="161"/>
        <v>5.1116267987937379E-3</v>
      </c>
      <c r="P656" s="188">
        <f t="shared" si="162"/>
        <v>2.1740778637074896E+16</v>
      </c>
      <c r="Q656" s="187">
        <f t="shared" si="163"/>
        <v>2688</v>
      </c>
      <c r="R656" s="219">
        <f t="shared" si="164"/>
        <v>8.5478400000000008</v>
      </c>
      <c r="S656" s="219">
        <f t="shared" si="165"/>
        <v>15.187200000000002</v>
      </c>
      <c r="T656" s="219">
        <f t="shared" si="166"/>
        <v>93.703680000000006</v>
      </c>
      <c r="U656" s="219">
        <f t="shared" si="167"/>
        <v>0.2747794423539458</v>
      </c>
      <c r="V656" s="188">
        <f t="shared" si="168"/>
        <v>2496128848753182</v>
      </c>
      <c r="W656" s="323">
        <v>0.35830000000000001</v>
      </c>
      <c r="X656" s="323">
        <v>0.29949999999999999</v>
      </c>
      <c r="Y656" s="323">
        <v>0.1076</v>
      </c>
      <c r="Z656" s="323">
        <v>4.48E-2</v>
      </c>
      <c r="AA656" s="323">
        <v>20.93</v>
      </c>
      <c r="AB656" s="323">
        <v>18.27</v>
      </c>
      <c r="AC656" s="323">
        <v>6.56</v>
      </c>
      <c r="AD656" s="323">
        <v>3.18</v>
      </c>
      <c r="AE656" s="323">
        <v>0</v>
      </c>
      <c r="AF656" s="323">
        <v>0</v>
      </c>
      <c r="AG656" s="323">
        <v>0.23</v>
      </c>
      <c r="AH656" s="323">
        <v>5.65</v>
      </c>
      <c r="AI656" s="323">
        <v>0</v>
      </c>
      <c r="AJ656" s="323">
        <v>0</v>
      </c>
      <c r="AK656" s="323">
        <v>2</v>
      </c>
      <c r="AL656" s="323">
        <v>34.86</v>
      </c>
      <c r="AM656" s="323">
        <v>7.830253662969645E-3</v>
      </c>
      <c r="AN656" s="323">
        <v>8.8702937869407864E-3</v>
      </c>
      <c r="AO656" s="323">
        <v>1.4417174448120221E-2</v>
      </c>
      <c r="AP656" s="323">
        <v>1.8403994923342944E-2</v>
      </c>
      <c r="AQ656" s="323">
        <v>5.6790253662969643E-2</v>
      </c>
      <c r="AR656" s="323">
        <v>5.7830293786940774E-2</v>
      </c>
      <c r="AS656" s="323">
        <v>7.631467444812022E-2</v>
      </c>
      <c r="AT656" s="323">
        <v>0.10222449492334293</v>
      </c>
      <c r="AU656" s="190">
        <v>49386866831507.844</v>
      </c>
      <c r="AV656" s="190">
        <v>55946593414172.305</v>
      </c>
      <c r="AW656" s="190">
        <v>727454414840395.75</v>
      </c>
      <c r="AX656" s="190">
        <v>928619363375439.63</v>
      </c>
      <c r="AY656" s="203">
        <v>1.4</v>
      </c>
      <c r="AZ656" s="239">
        <v>33</v>
      </c>
      <c r="BA656" s="203">
        <v>2002</v>
      </c>
      <c r="BB656" s="204">
        <v>37953</v>
      </c>
      <c r="BC656" s="203" t="s">
        <v>2468</v>
      </c>
    </row>
    <row r="657" spans="1:55" x14ac:dyDescent="0.2">
      <c r="A657" s="184" t="s">
        <v>2489</v>
      </c>
      <c r="B657" s="184" t="s">
        <v>2488</v>
      </c>
      <c r="C657" s="184" t="s">
        <v>934</v>
      </c>
      <c r="D657" s="185" t="s">
        <v>1043</v>
      </c>
      <c r="E657" s="184" t="s">
        <v>2485</v>
      </c>
      <c r="F657" s="184" t="s">
        <v>2485</v>
      </c>
      <c r="G657" s="186">
        <f>IF(ALECA_Input!$F$13="ICAO (3000ft)",'Aircraft Calc'!C$211,'Aircraft Calc'!G$211)</f>
        <v>0.7</v>
      </c>
      <c r="H657" s="186">
        <f>IF(ALECA_Input!$F$13="ICAO (3000ft)",'Aircraft Calc'!D$211,'Aircraft Calc'!H$211)</f>
        <v>2.2000000000000002</v>
      </c>
      <c r="I657" s="186">
        <f>IF(ALECA_Input!$F$13="ICAO (3000ft)",'Aircraft Calc'!E$211,'Aircraft Calc'!I$211)</f>
        <v>4</v>
      </c>
      <c r="J657" s="189">
        <v>1</v>
      </c>
      <c r="K657" s="187">
        <f t="shared" si="157"/>
        <v>80.406600000000012</v>
      </c>
      <c r="L657" s="187">
        <f t="shared" si="158"/>
        <v>0.94362708000000006</v>
      </c>
      <c r="M657" s="187">
        <f t="shared" si="159"/>
        <v>2.4121979999999999E-3</v>
      </c>
      <c r="N657" s="187">
        <f t="shared" si="160"/>
        <v>0.22484490000000001</v>
      </c>
      <c r="O657" s="187">
        <f t="shared" si="161"/>
        <v>4.9631619887937385E-3</v>
      </c>
      <c r="P657" s="188">
        <f t="shared" si="162"/>
        <v>2.1740778637074896E+16</v>
      </c>
      <c r="Q657" s="187">
        <f t="shared" si="163"/>
        <v>268.8</v>
      </c>
      <c r="R657" s="219">
        <f t="shared" si="164"/>
        <v>1.107456</v>
      </c>
      <c r="S657" s="219">
        <f t="shared" si="165"/>
        <v>1.1020799999999997</v>
      </c>
      <c r="T657" s="219">
        <f t="shared" si="166"/>
        <v>11.098751999999999</v>
      </c>
      <c r="U657" s="219">
        <f t="shared" si="167"/>
        <v>2.4907275435394578E-2</v>
      </c>
      <c r="V657" s="188">
        <f t="shared" si="168"/>
        <v>249612884875318.16</v>
      </c>
      <c r="W657" s="323">
        <v>0.35830000000000001</v>
      </c>
      <c r="X657" s="323">
        <v>0.29949999999999999</v>
      </c>
      <c r="Y657" s="323">
        <v>0.1076</v>
      </c>
      <c r="Z657" s="323">
        <v>4.4799999999999996E-3</v>
      </c>
      <c r="AA657" s="323">
        <v>15.4</v>
      </c>
      <c r="AB657" s="323">
        <v>13.48</v>
      </c>
      <c r="AC657" s="323">
        <v>6.93</v>
      </c>
      <c r="AD657" s="323">
        <v>4.12</v>
      </c>
      <c r="AE657" s="323">
        <v>0.03</v>
      </c>
      <c r="AF657" s="323">
        <v>0.03</v>
      </c>
      <c r="AG657" s="323">
        <v>0.03</v>
      </c>
      <c r="AH657" s="323">
        <v>4.0999999999999996</v>
      </c>
      <c r="AI657" s="323">
        <v>0.5</v>
      </c>
      <c r="AJ657" s="323">
        <v>0.5</v>
      </c>
      <c r="AK657" s="323">
        <v>7.65</v>
      </c>
      <c r="AL657" s="323">
        <v>41.29</v>
      </c>
      <c r="AM657" s="323">
        <v>7.830253662969645E-3</v>
      </c>
      <c r="AN657" s="323">
        <v>8.8702937869407864E-3</v>
      </c>
      <c r="AO657" s="323">
        <v>1.4417174448120221E-2</v>
      </c>
      <c r="AP657" s="323">
        <v>1.8403994923342944E-2</v>
      </c>
      <c r="AQ657" s="323">
        <v>6.0240253662969645E-2</v>
      </c>
      <c r="AR657" s="323">
        <v>6.0110293786940779E-2</v>
      </c>
      <c r="AS657" s="323">
        <v>6.5064674448120224E-2</v>
      </c>
      <c r="AT657" s="323">
        <v>9.2660994923342926E-2</v>
      </c>
      <c r="AU657" s="190">
        <v>49386866831507.844</v>
      </c>
      <c r="AV657" s="190">
        <v>55946593414172.305</v>
      </c>
      <c r="AW657" s="190">
        <v>727454414840395.75</v>
      </c>
      <c r="AX657" s="190">
        <v>928619363375439.63</v>
      </c>
      <c r="AY657" s="203">
        <v>1</v>
      </c>
      <c r="AZ657" s="239">
        <v>33</v>
      </c>
      <c r="BA657" s="203">
        <v>2001</v>
      </c>
      <c r="BB657" s="204">
        <v>37953</v>
      </c>
      <c r="BC657" s="203" t="s">
        <v>2462</v>
      </c>
    </row>
    <row r="658" spans="1:55" x14ac:dyDescent="0.2">
      <c r="A658" s="184" t="s">
        <v>2491</v>
      </c>
      <c r="B658" s="184" t="s">
        <v>2490</v>
      </c>
      <c r="C658" s="184" t="s">
        <v>934</v>
      </c>
      <c r="D658" s="185" t="s">
        <v>1043</v>
      </c>
      <c r="E658" s="184" t="s">
        <v>2492</v>
      </c>
      <c r="F658" s="184" t="s">
        <v>2492</v>
      </c>
      <c r="G658" s="186">
        <f>IF(ALECA_Input!$F$13="ICAO (3000ft)",'Aircraft Calc'!C$211,'Aircraft Calc'!G$211)</f>
        <v>0.7</v>
      </c>
      <c r="H658" s="186">
        <f>IF(ALECA_Input!$F$13="ICAO (3000ft)",'Aircraft Calc'!D$211,'Aircraft Calc'!H$211)</f>
        <v>2.2000000000000002</v>
      </c>
      <c r="I658" s="186">
        <f>IF(ALECA_Input!$F$13="ICAO (3000ft)",'Aircraft Calc'!E$211,'Aircraft Calc'!I$211)</f>
        <v>4</v>
      </c>
      <c r="J658" s="189">
        <v>1</v>
      </c>
      <c r="K658" s="187">
        <f t="shared" si="157"/>
        <v>91.322400000000002</v>
      </c>
      <c r="L658" s="187">
        <f t="shared" si="158"/>
        <v>1.1850310079999999</v>
      </c>
      <c r="M658" s="187">
        <f t="shared" si="159"/>
        <v>2.7396720000000003E-3</v>
      </c>
      <c r="N658" s="187">
        <f t="shared" si="160"/>
        <v>0.20440894799999998</v>
      </c>
      <c r="O658" s="187">
        <f t="shared" si="161"/>
        <v>5.6343523737282511E-3</v>
      </c>
      <c r="P658" s="188">
        <f t="shared" si="162"/>
        <v>2.4335037828991924E+16</v>
      </c>
      <c r="Q658" s="187">
        <f t="shared" si="163"/>
        <v>2850</v>
      </c>
      <c r="R658" s="219">
        <f t="shared" si="164"/>
        <v>12.141</v>
      </c>
      <c r="S658" s="219">
        <f t="shared" si="165"/>
        <v>10.032</v>
      </c>
      <c r="T658" s="219">
        <f t="shared" si="166"/>
        <v>108.2145</v>
      </c>
      <c r="U658" s="219">
        <f t="shared" si="167"/>
        <v>0.25388482553152736</v>
      </c>
      <c r="V658" s="188">
        <f t="shared" si="168"/>
        <v>2646565185620003</v>
      </c>
      <c r="W658" s="323">
        <v>0.41220000000000001</v>
      </c>
      <c r="X658" s="323">
        <v>0.34250000000000003</v>
      </c>
      <c r="Y658" s="323">
        <v>0.12</v>
      </c>
      <c r="Z658" s="323">
        <v>4.7500000000000001E-2</v>
      </c>
      <c r="AA658" s="323">
        <v>17.170000000000002</v>
      </c>
      <c r="AB658" s="323">
        <v>14.91</v>
      </c>
      <c r="AC658" s="323">
        <v>7.42</v>
      </c>
      <c r="AD658" s="323">
        <v>4.26</v>
      </c>
      <c r="AE658" s="323">
        <v>0.03</v>
      </c>
      <c r="AF658" s="323">
        <v>0.03</v>
      </c>
      <c r="AG658" s="323">
        <v>0.03</v>
      </c>
      <c r="AH658" s="323">
        <v>3.52</v>
      </c>
      <c r="AI658" s="323">
        <v>0.77</v>
      </c>
      <c r="AJ658" s="323">
        <v>0.64</v>
      </c>
      <c r="AK658" s="323">
        <v>5.63</v>
      </c>
      <c r="AL658" s="323">
        <v>37.97</v>
      </c>
      <c r="AM658" s="323">
        <v>7.830253662969645E-3</v>
      </c>
      <c r="AN658" s="323">
        <v>8.8702937869407864E-3</v>
      </c>
      <c r="AO658" s="323">
        <v>1.4417174448120221E-2</v>
      </c>
      <c r="AP658" s="323">
        <v>1.8403994923342944E-2</v>
      </c>
      <c r="AQ658" s="323">
        <v>6.0240253662969645E-2</v>
      </c>
      <c r="AR658" s="323">
        <v>6.0110293786940779E-2</v>
      </c>
      <c r="AS658" s="323">
        <v>6.5064674448120224E-2</v>
      </c>
      <c r="AT658" s="323">
        <v>8.9082394923342939E-2</v>
      </c>
      <c r="AU658" s="190">
        <v>49386866831507.844</v>
      </c>
      <c r="AV658" s="190">
        <v>55946593414172.305</v>
      </c>
      <c r="AW658" s="190">
        <v>727454414840395.75</v>
      </c>
      <c r="AX658" s="190">
        <v>928619363375439.63</v>
      </c>
      <c r="AY658" s="203">
        <v>1.5</v>
      </c>
      <c r="AZ658" s="239">
        <v>37.159999999999997</v>
      </c>
      <c r="BA658" s="203">
        <v>2001</v>
      </c>
      <c r="BB658" s="204">
        <v>37953</v>
      </c>
      <c r="BC658" s="203" t="s">
        <v>2462</v>
      </c>
    </row>
    <row r="659" spans="1:55" x14ac:dyDescent="0.2">
      <c r="A659" s="184" t="s">
        <v>671</v>
      </c>
      <c r="B659" s="184" t="s">
        <v>2493</v>
      </c>
      <c r="C659" s="184" t="s">
        <v>934</v>
      </c>
      <c r="D659" s="185" t="s">
        <v>1043</v>
      </c>
      <c r="E659" s="184" t="s">
        <v>2445</v>
      </c>
      <c r="F659" s="184" t="s">
        <v>2445</v>
      </c>
      <c r="G659" s="186">
        <f>IF(ALECA_Input!$F$13="ICAO (3000ft)",'Aircraft Calc'!C$211,'Aircraft Calc'!G$211)</f>
        <v>0.7</v>
      </c>
      <c r="H659" s="186">
        <f>IF(ALECA_Input!$F$13="ICAO (3000ft)",'Aircraft Calc'!D$211,'Aircraft Calc'!H$211)</f>
        <v>2.2000000000000002</v>
      </c>
      <c r="I659" s="186">
        <f>IF(ALECA_Input!$F$13="ICAO (3000ft)",'Aircraft Calc'!E$211,'Aircraft Calc'!I$211)</f>
        <v>4</v>
      </c>
      <c r="J659" s="189">
        <v>1</v>
      </c>
      <c r="K659" s="187">
        <f t="shared" si="157"/>
        <v>68.630399999999995</v>
      </c>
      <c r="L659" s="187">
        <f t="shared" si="158"/>
        <v>0.85284466799999992</v>
      </c>
      <c r="M659" s="187">
        <f t="shared" si="159"/>
        <v>2.8669652399999995E-2</v>
      </c>
      <c r="N659" s="187">
        <f t="shared" si="160"/>
        <v>0.14744186400000001</v>
      </c>
      <c r="O659" s="187">
        <f t="shared" si="161"/>
        <v>6.3121836137184327E-3</v>
      </c>
      <c r="P659" s="188">
        <f t="shared" si="162"/>
        <v>2.1660821254716516E+16</v>
      </c>
      <c r="Q659" s="187">
        <f t="shared" si="163"/>
        <v>2262</v>
      </c>
      <c r="R659" s="219">
        <f t="shared" si="164"/>
        <v>7.60032</v>
      </c>
      <c r="S659" s="219">
        <f t="shared" si="165"/>
        <v>11.203686000000001</v>
      </c>
      <c r="T659" s="219">
        <f t="shared" si="166"/>
        <v>59.53584</v>
      </c>
      <c r="U659" s="219">
        <f t="shared" si="167"/>
        <v>0.22499182641778789</v>
      </c>
      <c r="V659" s="188">
        <f t="shared" si="168"/>
        <v>2276518959359845.5</v>
      </c>
      <c r="W659" s="323">
        <v>0.30099999999999999</v>
      </c>
      <c r="X659" s="323">
        <v>0.25269999999999998</v>
      </c>
      <c r="Y659" s="323">
        <v>9.4299999999999995E-2</v>
      </c>
      <c r="Z659" s="323">
        <v>3.7699999999999997E-2</v>
      </c>
      <c r="AA659" s="323">
        <v>16.88</v>
      </c>
      <c r="AB659" s="323">
        <v>14.57</v>
      </c>
      <c r="AC659" s="323">
        <v>6.78</v>
      </c>
      <c r="AD659" s="323">
        <v>3.36</v>
      </c>
      <c r="AE659" s="323">
        <v>0.254</v>
      </c>
      <c r="AF659" s="323">
        <v>0.29099999999999998</v>
      </c>
      <c r="AG659" s="323">
        <v>0.69599999999999995</v>
      </c>
      <c r="AH659" s="323">
        <v>4.9530000000000003</v>
      </c>
      <c r="AI659" s="323">
        <v>0.94</v>
      </c>
      <c r="AJ659" s="323">
        <v>1.1599999999999999</v>
      </c>
      <c r="AK659" s="323">
        <v>4.28</v>
      </c>
      <c r="AL659" s="323">
        <v>26.32</v>
      </c>
      <c r="AM659" s="323">
        <v>2.252598626578756E-2</v>
      </c>
      <c r="AN659" s="323">
        <v>9.6121405886544723E-3</v>
      </c>
      <c r="AO659" s="323">
        <v>1.5624493752869943E-2</v>
      </c>
      <c r="AP659" s="323">
        <v>1.9945872589649815E-2</v>
      </c>
      <c r="AQ659" s="323">
        <v>0.10069598626578755</v>
      </c>
      <c r="AR659" s="323">
        <v>8.0688140588654478E-2</v>
      </c>
      <c r="AS659" s="323">
        <v>0.10373449375286994</v>
      </c>
      <c r="AT659" s="323">
        <v>9.9465882589649821E-2</v>
      </c>
      <c r="AU659" s="190">
        <v>142075586799688.81</v>
      </c>
      <c r="AV659" s="190">
        <v>60625559228380.539</v>
      </c>
      <c r="AW659" s="190">
        <v>788372714852832.25</v>
      </c>
      <c r="AX659" s="190">
        <v>1006418638090117.4</v>
      </c>
      <c r="AY659" s="203">
        <v>1.1000000000000001</v>
      </c>
      <c r="AZ659" s="239">
        <v>29.62</v>
      </c>
      <c r="BA659" s="203">
        <v>1995</v>
      </c>
      <c r="BB659" s="204">
        <v>39290</v>
      </c>
      <c r="BC659" s="203" t="s">
        <v>2494</v>
      </c>
    </row>
    <row r="660" spans="1:55" x14ac:dyDescent="0.2">
      <c r="A660" s="184" t="s">
        <v>2496</v>
      </c>
      <c r="B660" s="184" t="s">
        <v>2495</v>
      </c>
      <c r="C660" s="184" t="s">
        <v>934</v>
      </c>
      <c r="D660" s="185" t="s">
        <v>1043</v>
      </c>
      <c r="E660" s="184" t="s">
        <v>2445</v>
      </c>
      <c r="F660" s="184" t="s">
        <v>2445</v>
      </c>
      <c r="G660" s="186">
        <f>IF(ALECA_Input!$F$13="ICAO (3000ft)",'Aircraft Calc'!C$211,'Aircraft Calc'!G$211)</f>
        <v>0.7</v>
      </c>
      <c r="H660" s="186">
        <f>IF(ALECA_Input!$F$13="ICAO (3000ft)",'Aircraft Calc'!D$211,'Aircraft Calc'!H$211)</f>
        <v>2.2000000000000002</v>
      </c>
      <c r="I660" s="186">
        <f>IF(ALECA_Input!$F$13="ICAO (3000ft)",'Aircraft Calc'!E$211,'Aircraft Calc'!I$211)</f>
        <v>4</v>
      </c>
      <c r="J660" s="189">
        <v>1</v>
      </c>
      <c r="K660" s="187">
        <f t="shared" si="157"/>
        <v>68.630399999999995</v>
      </c>
      <c r="L660" s="187">
        <f t="shared" si="158"/>
        <v>0.96196532400000001</v>
      </c>
      <c r="M660" s="187">
        <f t="shared" si="159"/>
        <v>5.5389239999999998E-3</v>
      </c>
      <c r="N660" s="187">
        <f t="shared" si="160"/>
        <v>4.5716639999999996E-2</v>
      </c>
      <c r="O660" s="187">
        <f t="shared" si="161"/>
        <v>4.4598018466364886E-3</v>
      </c>
      <c r="P660" s="188">
        <f t="shared" si="162"/>
        <v>2.0541242944369848E+16</v>
      </c>
      <c r="Q660" s="187">
        <f t="shared" si="163"/>
        <v>2262</v>
      </c>
      <c r="R660" s="219">
        <f t="shared" si="164"/>
        <v>7.2384000000000004</v>
      </c>
      <c r="S660" s="219">
        <f t="shared" si="165"/>
        <v>13.006500000000001</v>
      </c>
      <c r="T660" s="219">
        <f t="shared" si="166"/>
        <v>79.328339999999997</v>
      </c>
      <c r="U660" s="219">
        <f t="shared" si="167"/>
        <v>0.23611518879778789</v>
      </c>
      <c r="V660" s="188">
        <f t="shared" si="168"/>
        <v>2276518959359845.5</v>
      </c>
      <c r="W660" s="323">
        <v>0.30099999999999999</v>
      </c>
      <c r="X660" s="323">
        <v>0.25269999999999998</v>
      </c>
      <c r="Y660" s="323">
        <v>9.4299999999999995E-2</v>
      </c>
      <c r="Z660" s="323">
        <v>3.7699999999999997E-2</v>
      </c>
      <c r="AA660" s="323">
        <v>19.36</v>
      </c>
      <c r="AB660" s="323">
        <v>17.010000000000002</v>
      </c>
      <c r="AC660" s="323">
        <v>6.62</v>
      </c>
      <c r="AD660" s="323">
        <v>3.2</v>
      </c>
      <c r="AE660" s="323">
        <v>0</v>
      </c>
      <c r="AF660" s="323">
        <v>0.01</v>
      </c>
      <c r="AG660" s="323">
        <v>0.23</v>
      </c>
      <c r="AH660" s="323">
        <v>5.75</v>
      </c>
      <c r="AI660" s="323">
        <v>0</v>
      </c>
      <c r="AJ660" s="323">
        <v>0</v>
      </c>
      <c r="AK660" s="323">
        <v>2.02</v>
      </c>
      <c r="AL660" s="323">
        <v>35.07</v>
      </c>
      <c r="AM660" s="323">
        <v>8.4848243703640695E-3</v>
      </c>
      <c r="AN660" s="323">
        <v>9.6121405886544723E-3</v>
      </c>
      <c r="AO660" s="323">
        <v>1.5624493752869943E-2</v>
      </c>
      <c r="AP660" s="323">
        <v>1.9945872589649815E-2</v>
      </c>
      <c r="AQ660" s="323">
        <v>5.7444824370364071E-2</v>
      </c>
      <c r="AR660" s="323">
        <v>5.9332140588654464E-2</v>
      </c>
      <c r="AS660" s="323">
        <v>7.7521993752869944E-2</v>
      </c>
      <c r="AT660" s="323">
        <v>0.10438337258964982</v>
      </c>
      <c r="AU660" s="190">
        <v>53515366079338.625</v>
      </c>
      <c r="AV660" s="190">
        <v>60625559228380.539</v>
      </c>
      <c r="AW660" s="190">
        <v>788372714852832.25</v>
      </c>
      <c r="AX660" s="190">
        <v>1006418638090117.4</v>
      </c>
      <c r="AY660" s="203">
        <v>1.2</v>
      </c>
      <c r="AZ660" s="239">
        <v>29.62</v>
      </c>
      <c r="BA660" s="203">
        <v>2002</v>
      </c>
      <c r="BB660" s="204">
        <v>37953</v>
      </c>
      <c r="BC660" s="203" t="s">
        <v>2468</v>
      </c>
    </row>
    <row r="661" spans="1:55" x14ac:dyDescent="0.2">
      <c r="A661" s="184" t="s">
        <v>2498</v>
      </c>
      <c r="B661" s="184" t="s">
        <v>2497</v>
      </c>
      <c r="C661" s="184" t="s">
        <v>934</v>
      </c>
      <c r="D661" s="185" t="s">
        <v>1043</v>
      </c>
      <c r="E661" s="184" t="s">
        <v>2456</v>
      </c>
      <c r="F661" s="184" t="s">
        <v>2456</v>
      </c>
      <c r="G661" s="186">
        <f>IF(ALECA_Input!$F$13="ICAO (3000ft)",'Aircraft Calc'!C$211,'Aircraft Calc'!G$211)</f>
        <v>0.7</v>
      </c>
      <c r="H661" s="186">
        <f>IF(ALECA_Input!$F$13="ICAO (3000ft)",'Aircraft Calc'!D$211,'Aircraft Calc'!H$211)</f>
        <v>2.2000000000000002</v>
      </c>
      <c r="I661" s="186">
        <f>IF(ALECA_Input!$F$13="ICAO (3000ft)",'Aircraft Calc'!E$211,'Aircraft Calc'!I$211)</f>
        <v>4</v>
      </c>
      <c r="J661" s="189">
        <v>1</v>
      </c>
      <c r="K661" s="187">
        <f t="shared" si="157"/>
        <v>72.811199999999985</v>
      </c>
      <c r="L661" s="187">
        <f t="shared" si="158"/>
        <v>1.0576535999999999</v>
      </c>
      <c r="M661" s="187">
        <f t="shared" si="159"/>
        <v>5.3495879999999997E-3</v>
      </c>
      <c r="N661" s="187">
        <f t="shared" si="160"/>
        <v>3.8530080000000001E-2</v>
      </c>
      <c r="O661" s="187">
        <f t="shared" si="161"/>
        <v>4.6870614672351171E-3</v>
      </c>
      <c r="P661" s="188">
        <f t="shared" si="162"/>
        <v>2.1278650859170636E+16</v>
      </c>
      <c r="Q661" s="187">
        <f t="shared" si="163"/>
        <v>2508</v>
      </c>
      <c r="R661" s="219">
        <f t="shared" si="164"/>
        <v>7.8751199999999999</v>
      </c>
      <c r="S661" s="219">
        <f t="shared" si="165"/>
        <v>14.74704</v>
      </c>
      <c r="T661" s="219">
        <f t="shared" si="166"/>
        <v>90.388319999999993</v>
      </c>
      <c r="U661" s="219">
        <f t="shared" si="167"/>
        <v>0.26299953417419641</v>
      </c>
      <c r="V661" s="188">
        <f t="shared" si="168"/>
        <v>2483447823291595.5</v>
      </c>
      <c r="W661" s="323">
        <v>0.32219999999999999</v>
      </c>
      <c r="X661" s="323">
        <v>0.26889999999999997</v>
      </c>
      <c r="Y661" s="323">
        <v>9.9099999999999994E-2</v>
      </c>
      <c r="Z661" s="323">
        <v>4.1799999999999997E-2</v>
      </c>
      <c r="AA661" s="323">
        <v>20.2</v>
      </c>
      <c r="AB661" s="323">
        <v>17.600000000000001</v>
      </c>
      <c r="AC661" s="323">
        <v>6.71</v>
      </c>
      <c r="AD661" s="323">
        <v>3.14</v>
      </c>
      <c r="AE661" s="323">
        <v>0</v>
      </c>
      <c r="AF661" s="323">
        <v>0.01</v>
      </c>
      <c r="AG661" s="323">
        <v>0.21</v>
      </c>
      <c r="AH661" s="323">
        <v>5.88</v>
      </c>
      <c r="AI661" s="323">
        <v>0</v>
      </c>
      <c r="AJ661" s="323">
        <v>0</v>
      </c>
      <c r="AK661" s="323">
        <v>1.62</v>
      </c>
      <c r="AL661" s="323">
        <v>36.04</v>
      </c>
      <c r="AM661" s="323">
        <v>8.3484554729902315E-3</v>
      </c>
      <c r="AN661" s="323">
        <v>9.4575891716307866E-3</v>
      </c>
      <c r="AO661" s="323">
        <v>1.537296889771375E-2</v>
      </c>
      <c r="AP661" s="323">
        <v>1.9624648075835881E-2</v>
      </c>
      <c r="AQ661" s="323">
        <v>5.7308455472990238E-2</v>
      </c>
      <c r="AR661" s="323">
        <v>5.9177589171630789E-2</v>
      </c>
      <c r="AS661" s="323">
        <v>7.6145468897713744E-2</v>
      </c>
      <c r="AT661" s="323">
        <v>0.10486424807583589</v>
      </c>
      <c r="AU661" s="190">
        <v>52655262069373.883</v>
      </c>
      <c r="AV661" s="190">
        <v>59650774683753.82</v>
      </c>
      <c r="AW661" s="190">
        <v>775681402350241.25</v>
      </c>
      <c r="AX661" s="190">
        <v>990210455857892.88</v>
      </c>
      <c r="AY661" s="203">
        <v>1.3</v>
      </c>
      <c r="AZ661" s="239">
        <v>31.46</v>
      </c>
      <c r="BA661" s="203">
        <v>2002</v>
      </c>
      <c r="BB661" s="204">
        <v>37953</v>
      </c>
      <c r="BC661" s="203" t="s">
        <v>2499</v>
      </c>
    </row>
    <row r="662" spans="1:55" x14ac:dyDescent="0.2">
      <c r="A662" s="184" t="s">
        <v>2501</v>
      </c>
      <c r="B662" s="184" t="s">
        <v>2500</v>
      </c>
      <c r="C662" s="184" t="s">
        <v>934</v>
      </c>
      <c r="D662" s="185" t="s">
        <v>1043</v>
      </c>
      <c r="E662" s="184" t="s">
        <v>2502</v>
      </c>
      <c r="F662" s="184" t="s">
        <v>2503</v>
      </c>
      <c r="G662" s="186">
        <f>IF(ALECA_Input!$F$13="ICAO (3000ft)",'Aircraft Calc'!C$211,'Aircraft Calc'!G$211)</f>
        <v>0.7</v>
      </c>
      <c r="H662" s="186">
        <f>IF(ALECA_Input!$F$13="ICAO (3000ft)",'Aircraft Calc'!D$211,'Aircraft Calc'!H$211)</f>
        <v>2.2000000000000002</v>
      </c>
      <c r="I662" s="186">
        <f>IF(ALECA_Input!$F$13="ICAO (3000ft)",'Aircraft Calc'!E$211,'Aircraft Calc'!I$211)</f>
        <v>4</v>
      </c>
      <c r="J662" s="189">
        <v>1</v>
      </c>
      <c r="K662" s="187">
        <f t="shared" si="157"/>
        <v>73.224000000000004</v>
      </c>
      <c r="L662" s="187">
        <f t="shared" si="158"/>
        <v>1.0946515200000002</v>
      </c>
      <c r="M662" s="187">
        <f t="shared" si="159"/>
        <v>5.5849200000000002E-3</v>
      </c>
      <c r="N662" s="187">
        <f t="shared" si="160"/>
        <v>4.68072E-2</v>
      </c>
      <c r="O662" s="187">
        <f t="shared" si="161"/>
        <v>4.7094402257232002E-3</v>
      </c>
      <c r="P662" s="188">
        <f t="shared" si="162"/>
        <v>2.0901962145996824E+16</v>
      </c>
      <c r="Q662" s="187">
        <f t="shared" si="163"/>
        <v>2820</v>
      </c>
      <c r="R662" s="219">
        <f t="shared" si="164"/>
        <v>8.8547999999999991</v>
      </c>
      <c r="S662" s="219">
        <f t="shared" si="165"/>
        <v>7.247399999999999</v>
      </c>
      <c r="T662" s="219">
        <f t="shared" si="166"/>
        <v>65.113799999999998</v>
      </c>
      <c r="U662" s="219">
        <f t="shared" si="167"/>
        <v>0.23712872713200633</v>
      </c>
      <c r="V662" s="188">
        <f t="shared" si="168"/>
        <v>2742115704234896</v>
      </c>
      <c r="W662" s="323">
        <v>0.32600000000000001</v>
      </c>
      <c r="X662" s="323">
        <v>0.27100000000000002</v>
      </c>
      <c r="Y662" s="323">
        <v>9.9000000000000005E-2</v>
      </c>
      <c r="Z662" s="323">
        <v>4.7E-2</v>
      </c>
      <c r="AA662" s="323">
        <v>21.25</v>
      </c>
      <c r="AB662" s="323">
        <v>18.11</v>
      </c>
      <c r="AC662" s="323">
        <v>6.56</v>
      </c>
      <c r="AD662" s="323">
        <v>3.14</v>
      </c>
      <c r="AE662" s="323">
        <v>0</v>
      </c>
      <c r="AF662" s="323">
        <v>0.01</v>
      </c>
      <c r="AG662" s="323">
        <v>0.22</v>
      </c>
      <c r="AH662" s="323">
        <v>2.57</v>
      </c>
      <c r="AI662" s="323">
        <v>0</v>
      </c>
      <c r="AJ662" s="323">
        <v>0</v>
      </c>
      <c r="AK662" s="323">
        <v>1.97</v>
      </c>
      <c r="AL662" s="323">
        <v>23.09</v>
      </c>
      <c r="AM662" s="323">
        <v>8.1984496858790081E-3</v>
      </c>
      <c r="AN662" s="323">
        <v>9.2875826129047347E-3</v>
      </c>
      <c r="AO662" s="323">
        <v>1.509629155704194E-2</v>
      </c>
      <c r="AP662" s="323">
        <v>1.9271301110640553E-2</v>
      </c>
      <c r="AQ662" s="323">
        <v>5.7158449685879013E-2</v>
      </c>
      <c r="AR662" s="323">
        <v>5.9007582612904737E-2</v>
      </c>
      <c r="AS662" s="323">
        <v>7.6431291557041925E-2</v>
      </c>
      <c r="AT662" s="323">
        <v>8.4088201110640554E-2</v>
      </c>
      <c r="AU662" s="190">
        <v>51709147658412.648</v>
      </c>
      <c r="AV662" s="190">
        <v>58578511684664.43</v>
      </c>
      <c r="AW662" s="190">
        <v>761720958597391.38</v>
      </c>
      <c r="AX662" s="190">
        <v>972381455402445.5</v>
      </c>
      <c r="AY662" s="203">
        <v>1.3</v>
      </c>
      <c r="AZ662" s="239">
        <v>32.729999999999997</v>
      </c>
      <c r="BA662" s="203">
        <v>2002</v>
      </c>
      <c r="BB662" s="204">
        <v>41943</v>
      </c>
      <c r="BC662" s="203" t="s">
        <v>716</v>
      </c>
    </row>
    <row r="663" spans="1:55" x14ac:dyDescent="0.2">
      <c r="A663" s="184" t="s">
        <v>2505</v>
      </c>
      <c r="B663" s="184" t="s">
        <v>2504</v>
      </c>
      <c r="C663" s="184" t="s">
        <v>934</v>
      </c>
      <c r="D663" s="185" t="s">
        <v>1043</v>
      </c>
      <c r="E663" s="184" t="s">
        <v>2506</v>
      </c>
      <c r="F663" s="184" t="s">
        <v>2506</v>
      </c>
      <c r="G663" s="186">
        <f>IF(ALECA_Input!$F$13="ICAO (3000ft)",'Aircraft Calc'!C$211,'Aircraft Calc'!G$211)</f>
        <v>0.7</v>
      </c>
      <c r="H663" s="186">
        <f>IF(ALECA_Input!$F$13="ICAO (3000ft)",'Aircraft Calc'!D$211,'Aircraft Calc'!H$211)</f>
        <v>2.2000000000000002</v>
      </c>
      <c r="I663" s="186">
        <f>IF(ALECA_Input!$F$13="ICAO (3000ft)",'Aircraft Calc'!E$211,'Aircraft Calc'!I$211)</f>
        <v>4</v>
      </c>
      <c r="J663" s="189">
        <v>1</v>
      </c>
      <c r="K663" s="187">
        <f t="shared" si="157"/>
        <v>103.90800000000002</v>
      </c>
      <c r="L663" s="187">
        <f t="shared" si="158"/>
        <v>1.4448267600000004</v>
      </c>
      <c r="M663" s="187">
        <f t="shared" si="159"/>
        <v>0</v>
      </c>
      <c r="N663" s="187">
        <f t="shared" si="160"/>
        <v>0.18692556000000002</v>
      </c>
      <c r="O663" s="187">
        <f t="shared" si="161"/>
        <v>6.1856277034508661E-3</v>
      </c>
      <c r="P663" s="188">
        <f t="shared" si="162"/>
        <v>2.8266217059144936E+16</v>
      </c>
      <c r="Q663" s="187">
        <f t="shared" si="163"/>
        <v>3300</v>
      </c>
      <c r="R663" s="219">
        <f t="shared" si="164"/>
        <v>14.486999999999998</v>
      </c>
      <c r="S663" s="219">
        <f t="shared" si="165"/>
        <v>5.6429999999999998</v>
      </c>
      <c r="T663" s="219">
        <f t="shared" si="166"/>
        <v>112.761</v>
      </c>
      <c r="U663" s="219">
        <f t="shared" si="167"/>
        <v>0.25786052187394187</v>
      </c>
      <c r="V663" s="188">
        <f t="shared" si="168"/>
        <v>3101884800095388.5</v>
      </c>
      <c r="W663" s="323">
        <v>0.46600000000000003</v>
      </c>
      <c r="X663" s="323">
        <v>0.38800000000000001</v>
      </c>
      <c r="Y663" s="323">
        <v>0.13800000000000001</v>
      </c>
      <c r="Z663" s="323">
        <v>5.5E-2</v>
      </c>
      <c r="AA663" s="323">
        <v>18.61</v>
      </c>
      <c r="AB663" s="323">
        <v>15.99</v>
      </c>
      <c r="AC663" s="323">
        <v>7.9</v>
      </c>
      <c r="AD663" s="323">
        <v>4.3899999999999997</v>
      </c>
      <c r="AE663" s="323">
        <v>0</v>
      </c>
      <c r="AF663" s="323">
        <v>0</v>
      </c>
      <c r="AG663" s="323">
        <v>0</v>
      </c>
      <c r="AH663" s="323">
        <v>1.71</v>
      </c>
      <c r="AI663" s="323">
        <v>0.71</v>
      </c>
      <c r="AJ663" s="323">
        <v>0.74</v>
      </c>
      <c r="AK663" s="323">
        <v>4.08</v>
      </c>
      <c r="AL663" s="323">
        <v>34.17</v>
      </c>
      <c r="AM663" s="323">
        <v>7.9257118911313304E-3</v>
      </c>
      <c r="AN663" s="323">
        <v>8.978479778857365E-3</v>
      </c>
      <c r="AO663" s="323">
        <v>1.4593241846729556E-2</v>
      </c>
      <c r="AP663" s="323">
        <v>1.8628852083012692E-2</v>
      </c>
      <c r="AQ663" s="323">
        <v>5.6885711891131327E-2</v>
      </c>
      <c r="AR663" s="323">
        <v>5.7938479778857362E-2</v>
      </c>
      <c r="AS663" s="323">
        <v>6.3553241846729558E-2</v>
      </c>
      <c r="AT663" s="323">
        <v>7.8139552083012695E-2</v>
      </c>
      <c r="AU663" s="190">
        <v>49988939638483.156</v>
      </c>
      <c r="AV663" s="190">
        <v>56628942595411</v>
      </c>
      <c r="AW663" s="190">
        <v>736338333592209.38</v>
      </c>
      <c r="AX663" s="190">
        <v>939965090937996.63</v>
      </c>
      <c r="AY663" s="203">
        <v>1.8</v>
      </c>
      <c r="AZ663" s="239">
        <v>42.23</v>
      </c>
      <c r="BA663" s="203">
        <v>2001</v>
      </c>
      <c r="BB663" s="204">
        <v>42338</v>
      </c>
      <c r="BC663" s="203" t="s">
        <v>2507</v>
      </c>
    </row>
    <row r="664" spans="1:55" x14ac:dyDescent="0.2">
      <c r="A664" s="184" t="s">
        <v>2509</v>
      </c>
      <c r="B664" s="184" t="s">
        <v>2508</v>
      </c>
      <c r="C664" s="184" t="s">
        <v>2259</v>
      </c>
      <c r="D664" s="185" t="s">
        <v>1043</v>
      </c>
      <c r="E664" s="184" t="s">
        <v>2510</v>
      </c>
      <c r="F664" s="184" t="s">
        <v>2511</v>
      </c>
      <c r="G664" s="186">
        <f>IF(ALECA_Input!$F$13="ICAO (3000ft)",'Aircraft Calc'!C$211,'Aircraft Calc'!G$211)</f>
        <v>0.7</v>
      </c>
      <c r="H664" s="186">
        <f>IF(ALECA_Input!$F$13="ICAO (3000ft)",'Aircraft Calc'!D$211,'Aircraft Calc'!H$211)</f>
        <v>2.2000000000000002</v>
      </c>
      <c r="I664" s="186">
        <f>IF(ALECA_Input!$F$13="ICAO (3000ft)",'Aircraft Calc'!E$211,'Aircraft Calc'!I$211)</f>
        <v>4</v>
      </c>
      <c r="J664" s="189">
        <v>1</v>
      </c>
      <c r="K664" s="187">
        <f t="shared" si="157"/>
        <v>160.11000000000001</v>
      </c>
      <c r="L664" s="187">
        <f t="shared" si="158"/>
        <v>2.02102746</v>
      </c>
      <c r="M664" s="187">
        <f t="shared" si="159"/>
        <v>4.4404800000000001E-3</v>
      </c>
      <c r="N664" s="187">
        <f t="shared" si="160"/>
        <v>0.29053944000000004</v>
      </c>
      <c r="O664" s="187">
        <f t="shared" si="161"/>
        <v>4.3080096863586277E-2</v>
      </c>
      <c r="P664" s="188">
        <f t="shared" si="162"/>
        <v>2.506504718695448E+17</v>
      </c>
      <c r="Q664" s="187">
        <f t="shared" si="163"/>
        <v>5340</v>
      </c>
      <c r="R664" s="219">
        <f t="shared" si="164"/>
        <v>21.36</v>
      </c>
      <c r="S664" s="219">
        <f t="shared" si="165"/>
        <v>10.5732</v>
      </c>
      <c r="T664" s="219">
        <f t="shared" si="166"/>
        <v>139.32059999999998</v>
      </c>
      <c r="U664" s="219">
        <f t="shared" si="167"/>
        <v>0.43205103355049307</v>
      </c>
      <c r="V664" s="188">
        <f t="shared" si="168"/>
        <v>5316604127749654</v>
      </c>
      <c r="W664" s="323">
        <v>0.70699999999999996</v>
      </c>
      <c r="X664" s="323">
        <v>0.58799999999999997</v>
      </c>
      <c r="Y664" s="323">
        <v>0.22</v>
      </c>
      <c r="Z664" s="323">
        <v>8.8999999999999996E-2</v>
      </c>
      <c r="AA664" s="323">
        <v>17.07</v>
      </c>
      <c r="AB664" s="323">
        <v>13.93</v>
      </c>
      <c r="AC664" s="323">
        <v>8.1999999999999993</v>
      </c>
      <c r="AD664" s="323">
        <v>4</v>
      </c>
      <c r="AE664" s="323">
        <v>0</v>
      </c>
      <c r="AF664" s="323">
        <v>0.03</v>
      </c>
      <c r="AG664" s="323">
        <v>0.04</v>
      </c>
      <c r="AH664" s="323">
        <v>1.98</v>
      </c>
      <c r="AI664" s="323">
        <v>0.52</v>
      </c>
      <c r="AJ664" s="323">
        <v>0.66</v>
      </c>
      <c r="AK664" s="323">
        <v>4.24</v>
      </c>
      <c r="AL664" s="323">
        <v>26.09</v>
      </c>
      <c r="AM664" s="323">
        <v>0.33120069429045051</v>
      </c>
      <c r="AN664" s="323">
        <v>0.31469873842217783</v>
      </c>
      <c r="AO664" s="323">
        <v>1.2973789506626731E-2</v>
      </c>
      <c r="AP664" s="323">
        <v>1.9731833249155992E-2</v>
      </c>
      <c r="AQ664" s="323">
        <v>0.38016069429045046</v>
      </c>
      <c r="AR664" s="323">
        <v>0.36593873842217783</v>
      </c>
      <c r="AS664" s="323">
        <v>6.4183789506626732E-2</v>
      </c>
      <c r="AT664" s="323">
        <v>8.0908433249156003E-2</v>
      </c>
      <c r="AU664" s="190">
        <v>2088944405566294</v>
      </c>
      <c r="AV664" s="190">
        <v>1984863499378036.8</v>
      </c>
      <c r="AW664" s="190">
        <v>654624835661620.5</v>
      </c>
      <c r="AX664" s="190">
        <v>995618750514916.5</v>
      </c>
      <c r="AY664" s="203">
        <v>2.6</v>
      </c>
      <c r="AZ664" s="239">
        <v>65.61</v>
      </c>
      <c r="BA664" s="203">
        <v>1996</v>
      </c>
      <c r="BB664" s="204">
        <v>39296</v>
      </c>
      <c r="BC664" s="203" t="s">
        <v>741</v>
      </c>
    </row>
    <row r="665" spans="1:55" x14ac:dyDescent="0.2">
      <c r="A665" s="184" t="s">
        <v>661</v>
      </c>
      <c r="B665" s="184" t="s">
        <v>2512</v>
      </c>
      <c r="C665" s="184" t="s">
        <v>2259</v>
      </c>
      <c r="D665" s="185" t="s">
        <v>1043</v>
      </c>
      <c r="E665" s="184" t="s">
        <v>2513</v>
      </c>
      <c r="F665" s="184" t="s">
        <v>2513</v>
      </c>
      <c r="G665" s="186">
        <f>IF(ALECA_Input!$F$13="ICAO (3000ft)",'Aircraft Calc'!C$211,'Aircraft Calc'!G$211)</f>
        <v>0.7</v>
      </c>
      <c r="H665" s="186">
        <f>IF(ALECA_Input!$F$13="ICAO (3000ft)",'Aircraft Calc'!D$211,'Aircraft Calc'!H$211)</f>
        <v>2.2000000000000002</v>
      </c>
      <c r="I665" s="186">
        <f>IF(ALECA_Input!$F$13="ICAO (3000ft)",'Aircraft Calc'!E$211,'Aircraft Calc'!I$211)</f>
        <v>4</v>
      </c>
      <c r="J665" s="189">
        <v>1</v>
      </c>
      <c r="K665" s="187">
        <f t="shared" si="157"/>
        <v>184.99199999999999</v>
      </c>
      <c r="L665" s="187">
        <f t="shared" si="158"/>
        <v>3.1982486399999996</v>
      </c>
      <c r="M665" s="187">
        <f t="shared" si="159"/>
        <v>2.4096E-3</v>
      </c>
      <c r="N665" s="187">
        <f t="shared" si="160"/>
        <v>0.31678535999999996</v>
      </c>
      <c r="O665" s="187">
        <f t="shared" si="161"/>
        <v>2.4183844500550351E-2</v>
      </c>
      <c r="P665" s="188">
        <f t="shared" si="162"/>
        <v>1.8992950532822125E+17</v>
      </c>
      <c r="Q665" s="187">
        <f t="shared" si="163"/>
        <v>5760</v>
      </c>
      <c r="R665" s="219">
        <f t="shared" si="164"/>
        <v>30.9312</v>
      </c>
      <c r="S665" s="219">
        <f t="shared" si="165"/>
        <v>1.2096</v>
      </c>
      <c r="T665" s="219">
        <f t="shared" si="166"/>
        <v>93.715199999999996</v>
      </c>
      <c r="U665" s="219">
        <f t="shared" si="167"/>
        <v>0.54540851583867489</v>
      </c>
      <c r="V665" s="188">
        <f t="shared" si="168"/>
        <v>1.2913871840394846E+16</v>
      </c>
      <c r="W665" s="323">
        <v>0.83599999999999997</v>
      </c>
      <c r="X665" s="323">
        <v>0.69</v>
      </c>
      <c r="Y665" s="323">
        <v>0.245</v>
      </c>
      <c r="Z665" s="323">
        <v>9.6000000000000002E-2</v>
      </c>
      <c r="AA665" s="323">
        <v>23.97</v>
      </c>
      <c r="AB665" s="323">
        <v>18.649999999999999</v>
      </c>
      <c r="AC665" s="323">
        <v>11.19</v>
      </c>
      <c r="AD665" s="323">
        <v>5.37</v>
      </c>
      <c r="AE665" s="323">
        <v>0</v>
      </c>
      <c r="AF665" s="323">
        <v>0.02</v>
      </c>
      <c r="AG665" s="323">
        <v>0.01</v>
      </c>
      <c r="AH665" s="323">
        <v>0.21</v>
      </c>
      <c r="AI665" s="323">
        <v>0.78</v>
      </c>
      <c r="AJ665" s="323">
        <v>0.75</v>
      </c>
      <c r="AK665" s="323">
        <v>3.76</v>
      </c>
      <c r="AL665" s="323">
        <v>16.27</v>
      </c>
      <c r="AM665" s="323">
        <v>0.11505080191238154</v>
      </c>
      <c r="AN665" s="323">
        <v>9.6069575121137368E-2</v>
      </c>
      <c r="AO665" s="323">
        <v>3.6827192547102393E-2</v>
      </c>
      <c r="AP665" s="323">
        <v>4.4433278444214408E-2</v>
      </c>
      <c r="AQ665" s="323">
        <v>0.16401080191238154</v>
      </c>
      <c r="AR665" s="323">
        <v>0.14654957512113737</v>
      </c>
      <c r="AS665" s="323">
        <v>8.6349692547102383E-2</v>
      </c>
      <c r="AT665" s="323">
        <v>9.4688978444214394E-2</v>
      </c>
      <c r="AU665" s="190">
        <v>725646815220806.25</v>
      </c>
      <c r="AV665" s="190">
        <v>605928686002205.25</v>
      </c>
      <c r="AW665" s="190">
        <v>1858207646787541.8</v>
      </c>
      <c r="AX665" s="190">
        <v>2241991638957438.8</v>
      </c>
      <c r="AY665" s="203">
        <v>4</v>
      </c>
      <c r="AZ665" s="239">
        <v>84.16</v>
      </c>
      <c r="BA665" s="203">
        <v>1998</v>
      </c>
      <c r="BB665" s="204">
        <v>39296</v>
      </c>
      <c r="BC665" s="203" t="s">
        <v>741</v>
      </c>
    </row>
    <row r="666" spans="1:55" x14ac:dyDescent="0.2">
      <c r="A666" s="184" t="s">
        <v>2515</v>
      </c>
      <c r="B666" s="184" t="s">
        <v>2514</v>
      </c>
      <c r="C666" s="184" t="s">
        <v>2259</v>
      </c>
      <c r="D666" s="185" t="s">
        <v>1043</v>
      </c>
      <c r="E666" s="184" t="s">
        <v>2516</v>
      </c>
      <c r="F666" s="184" t="s">
        <v>2516</v>
      </c>
      <c r="G666" s="186">
        <f>IF(ALECA_Input!$F$13="ICAO (3000ft)",'Aircraft Calc'!C$211,'Aircraft Calc'!G$211)</f>
        <v>0.7</v>
      </c>
      <c r="H666" s="186">
        <f>IF(ALECA_Input!$F$13="ICAO (3000ft)",'Aircraft Calc'!D$211,'Aircraft Calc'!H$211)</f>
        <v>2.2000000000000002</v>
      </c>
      <c r="I666" s="186">
        <f>IF(ALECA_Input!$F$13="ICAO (3000ft)",'Aircraft Calc'!E$211,'Aircraft Calc'!I$211)</f>
        <v>4</v>
      </c>
      <c r="J666" s="189">
        <v>1</v>
      </c>
      <c r="K666" s="187">
        <f t="shared" si="157"/>
        <v>198.24600000000001</v>
      </c>
      <c r="L666" s="187">
        <f t="shared" si="158"/>
        <v>3.73649874</v>
      </c>
      <c r="M666" s="187">
        <f t="shared" si="159"/>
        <v>9.8076000000000001E-4</v>
      </c>
      <c r="N666" s="187">
        <f t="shared" si="160"/>
        <v>0.31428635999999999</v>
      </c>
      <c r="O666" s="187">
        <f t="shared" si="161"/>
        <v>2.7612053175606693E-2</v>
      </c>
      <c r="P666" s="188">
        <f t="shared" si="162"/>
        <v>2.1822502251881622E+17</v>
      </c>
      <c r="Q666" s="187">
        <f t="shared" si="163"/>
        <v>5880</v>
      </c>
      <c r="R666" s="219">
        <f t="shared" si="164"/>
        <v>32.575200000000002</v>
      </c>
      <c r="S666" s="219">
        <f t="shared" si="165"/>
        <v>0.99960000000000004</v>
      </c>
      <c r="T666" s="219">
        <f t="shared" si="166"/>
        <v>91.492800000000003</v>
      </c>
      <c r="U666" s="219">
        <f t="shared" si="167"/>
        <v>0.54771962191319035</v>
      </c>
      <c r="V666" s="188">
        <f t="shared" si="168"/>
        <v>1.2799414379841182E+16</v>
      </c>
      <c r="W666" s="323">
        <v>0.90500000000000003</v>
      </c>
      <c r="X666" s="323">
        <v>0.74299999999999999</v>
      </c>
      <c r="Y666" s="323">
        <v>0.25900000000000001</v>
      </c>
      <c r="Z666" s="323">
        <v>9.8000000000000004E-2</v>
      </c>
      <c r="AA666" s="323">
        <v>27.21</v>
      </c>
      <c r="AB666" s="323">
        <v>20.34</v>
      </c>
      <c r="AC666" s="323">
        <v>11.38</v>
      </c>
      <c r="AD666" s="323">
        <v>5.54</v>
      </c>
      <c r="AE666" s="323">
        <v>0</v>
      </c>
      <c r="AF666" s="323">
        <v>0.01</v>
      </c>
      <c r="AG666" s="323">
        <v>0</v>
      </c>
      <c r="AH666" s="323">
        <v>0.17</v>
      </c>
      <c r="AI666" s="323">
        <v>0.78</v>
      </c>
      <c r="AJ666" s="323">
        <v>0.76</v>
      </c>
      <c r="AK666" s="323">
        <v>3.38</v>
      </c>
      <c r="AL666" s="323">
        <v>15.56</v>
      </c>
      <c r="AM666" s="323">
        <v>0.13258474018435576</v>
      </c>
      <c r="AN666" s="323">
        <v>0.10600362614159443</v>
      </c>
      <c r="AO666" s="323">
        <v>3.8536577280185232E-2</v>
      </c>
      <c r="AP666" s="323">
        <v>4.3140695563467731E-2</v>
      </c>
      <c r="AQ666" s="323">
        <v>0.18154474018435576</v>
      </c>
      <c r="AR666" s="323">
        <v>0.15572362614159443</v>
      </c>
      <c r="AS666" s="323">
        <v>8.7496577280185228E-2</v>
      </c>
      <c r="AT666" s="323">
        <v>9.3149595563467746E-2</v>
      </c>
      <c r="AU666" s="190">
        <v>836236626450683.88</v>
      </c>
      <c r="AV666" s="190">
        <v>668584594221997.38</v>
      </c>
      <c r="AW666" s="190">
        <v>1944458907408447.8</v>
      </c>
      <c r="AX666" s="190">
        <v>2176771153034214.8</v>
      </c>
      <c r="AY666" s="203">
        <v>4.5999999999999996</v>
      </c>
      <c r="AZ666" s="239">
        <v>89.68</v>
      </c>
      <c r="BA666" s="203">
        <v>1998</v>
      </c>
      <c r="BB666" s="204">
        <v>39296</v>
      </c>
      <c r="BC666" s="203" t="s">
        <v>741</v>
      </c>
    </row>
    <row r="667" spans="1:55" x14ac:dyDescent="0.2">
      <c r="A667" s="184" t="s">
        <v>2518</v>
      </c>
      <c r="B667" s="184" t="s">
        <v>2517</v>
      </c>
      <c r="C667" s="184" t="s">
        <v>2259</v>
      </c>
      <c r="D667" s="185" t="s">
        <v>1043</v>
      </c>
      <c r="E667" s="184" t="s">
        <v>2519</v>
      </c>
      <c r="F667" s="184" t="s">
        <v>2519</v>
      </c>
      <c r="G667" s="186">
        <f>IF(ALECA_Input!$F$13="ICAO (3000ft)",'Aircraft Calc'!C$211,'Aircraft Calc'!G$211)</f>
        <v>0.7</v>
      </c>
      <c r="H667" s="186">
        <f>IF(ALECA_Input!$F$13="ICAO (3000ft)",'Aircraft Calc'!D$211,'Aircraft Calc'!H$211)</f>
        <v>2.2000000000000002</v>
      </c>
      <c r="I667" s="186">
        <f>IF(ALECA_Input!$F$13="ICAO (3000ft)",'Aircraft Calc'!E$211,'Aircraft Calc'!I$211)</f>
        <v>4</v>
      </c>
      <c r="J667" s="189">
        <v>1</v>
      </c>
      <c r="K667" s="187">
        <f t="shared" si="157"/>
        <v>212.14800000000002</v>
      </c>
      <c r="L667" s="187">
        <f t="shared" si="158"/>
        <v>4.412306280000001</v>
      </c>
      <c r="M667" s="187">
        <f t="shared" si="159"/>
        <v>0</v>
      </c>
      <c r="N667" s="187">
        <f t="shared" si="160"/>
        <v>0.31362624000000006</v>
      </c>
      <c r="O667" s="187">
        <f t="shared" si="161"/>
        <v>3.1864284959833789E-2</v>
      </c>
      <c r="P667" s="188">
        <f t="shared" si="162"/>
        <v>2.5226458754250944E+17</v>
      </c>
      <c r="Q667" s="187">
        <f t="shared" si="163"/>
        <v>6060.0000000000009</v>
      </c>
      <c r="R667" s="219">
        <f t="shared" si="164"/>
        <v>34.663200000000003</v>
      </c>
      <c r="S667" s="219">
        <f t="shared" si="165"/>
        <v>0.84840000000000015</v>
      </c>
      <c r="T667" s="219">
        <f t="shared" si="166"/>
        <v>90.051600000000008</v>
      </c>
      <c r="U667" s="219">
        <f t="shared" si="167"/>
        <v>0.55617710927659147</v>
      </c>
      <c r="V667" s="188">
        <f t="shared" si="168"/>
        <v>1.2828558189454628E+16</v>
      </c>
      <c r="W667" s="323">
        <v>0.98</v>
      </c>
      <c r="X667" s="323">
        <v>0.79900000000000004</v>
      </c>
      <c r="Y667" s="323">
        <v>0.27300000000000002</v>
      </c>
      <c r="Z667" s="323">
        <v>0.10100000000000001</v>
      </c>
      <c r="AA667" s="323">
        <v>31.39</v>
      </c>
      <c r="AB667" s="323">
        <v>22.41</v>
      </c>
      <c r="AC667" s="323">
        <v>11.55</v>
      </c>
      <c r="AD667" s="323">
        <v>5.72</v>
      </c>
      <c r="AE667" s="323">
        <v>0</v>
      </c>
      <c r="AF667" s="323">
        <v>0</v>
      </c>
      <c r="AG667" s="323">
        <v>0</v>
      </c>
      <c r="AH667" s="323">
        <v>0.14000000000000001</v>
      </c>
      <c r="AI667" s="323">
        <v>0.75</v>
      </c>
      <c r="AJ667" s="323">
        <v>0.78</v>
      </c>
      <c r="AK667" s="323">
        <v>3.06</v>
      </c>
      <c r="AL667" s="323">
        <v>14.86</v>
      </c>
      <c r="AM667" s="323">
        <v>0.15605287371347282</v>
      </c>
      <c r="AN667" s="323">
        <v>0.11765494307383272</v>
      </c>
      <c r="AO667" s="323">
        <v>4.0377763456597236E-2</v>
      </c>
      <c r="AP667" s="323">
        <v>4.1954600870724654E-2</v>
      </c>
      <c r="AQ667" s="323">
        <v>0.20501287371347282</v>
      </c>
      <c r="AR667" s="323">
        <v>0.16661494307383273</v>
      </c>
      <c r="AS667" s="323">
        <v>8.9337763456597233E-2</v>
      </c>
      <c r="AT667" s="323">
        <v>9.1778400870724655E-2</v>
      </c>
      <c r="AU667" s="190">
        <v>984254511345997.38</v>
      </c>
      <c r="AV667" s="190">
        <v>742071618079908.25</v>
      </c>
      <c r="AW667" s="190">
        <v>2037360537848846</v>
      </c>
      <c r="AX667" s="190">
        <v>2116923793639377.5</v>
      </c>
      <c r="AY667" s="203">
        <v>5.3</v>
      </c>
      <c r="AZ667" s="239">
        <v>95.33</v>
      </c>
      <c r="BA667" s="203">
        <v>1998</v>
      </c>
      <c r="BB667" s="204">
        <v>39296</v>
      </c>
      <c r="BC667" s="203" t="s">
        <v>741</v>
      </c>
    </row>
    <row r="668" spans="1:55" x14ac:dyDescent="0.2">
      <c r="A668" s="184" t="s">
        <v>684</v>
      </c>
      <c r="B668" s="184" t="s">
        <v>2520</v>
      </c>
      <c r="C668" s="184" t="s">
        <v>2259</v>
      </c>
      <c r="D668" s="185" t="s">
        <v>1043</v>
      </c>
      <c r="E668" s="184" t="s">
        <v>2521</v>
      </c>
      <c r="F668" s="184" t="s">
        <v>2511</v>
      </c>
      <c r="G668" s="186">
        <f>IF(ALECA_Input!$F$13="ICAO (3000ft)",'Aircraft Calc'!C$211,'Aircraft Calc'!G$211)</f>
        <v>0.7</v>
      </c>
      <c r="H668" s="186">
        <f>IF(ALECA_Input!$F$13="ICAO (3000ft)",'Aircraft Calc'!D$211,'Aircraft Calc'!H$211)</f>
        <v>2.2000000000000002</v>
      </c>
      <c r="I668" s="186">
        <f>IF(ALECA_Input!$F$13="ICAO (3000ft)",'Aircraft Calc'!E$211,'Aircraft Calc'!I$211)</f>
        <v>4</v>
      </c>
      <c r="J668" s="189">
        <v>1</v>
      </c>
      <c r="K668" s="187">
        <f t="shared" si="157"/>
        <v>159.88799999999998</v>
      </c>
      <c r="L668" s="187">
        <f t="shared" si="158"/>
        <v>2.13606264</v>
      </c>
      <c r="M668" s="187">
        <f t="shared" si="159"/>
        <v>4.7385599999999993E-3</v>
      </c>
      <c r="N668" s="187">
        <f t="shared" si="160"/>
        <v>0.35127131999999994</v>
      </c>
      <c r="O668" s="187">
        <f t="shared" si="161"/>
        <v>5.2691868077876826E-2</v>
      </c>
      <c r="P668" s="188">
        <f t="shared" si="162"/>
        <v>3.1959375239747027E+17</v>
      </c>
      <c r="Q668" s="187">
        <f t="shared" si="163"/>
        <v>5340</v>
      </c>
      <c r="R668" s="219">
        <f t="shared" si="164"/>
        <v>24.937799999999999</v>
      </c>
      <c r="S668" s="219">
        <f t="shared" si="165"/>
        <v>5.9808000000000003</v>
      </c>
      <c r="T668" s="219">
        <f t="shared" si="166"/>
        <v>149.51999999999998</v>
      </c>
      <c r="U668" s="219">
        <f t="shared" si="167"/>
        <v>0.45528673675755937</v>
      </c>
      <c r="V668" s="188">
        <f t="shared" si="168"/>
        <v>7918737744463471</v>
      </c>
      <c r="W668" s="323">
        <v>0.71399999999999997</v>
      </c>
      <c r="X668" s="323">
        <v>0.59499999999999997</v>
      </c>
      <c r="Y668" s="323">
        <v>0.214</v>
      </c>
      <c r="Z668" s="323">
        <v>8.8999999999999996E-2</v>
      </c>
      <c r="AA668" s="323">
        <v>18.73</v>
      </c>
      <c r="AB668" s="323">
        <v>15.03</v>
      </c>
      <c r="AC668" s="323">
        <v>7.67</v>
      </c>
      <c r="AD668" s="323">
        <v>4.67</v>
      </c>
      <c r="AE668" s="323">
        <v>0.02</v>
      </c>
      <c r="AF668" s="323">
        <v>0.02</v>
      </c>
      <c r="AG668" s="323">
        <v>0.05</v>
      </c>
      <c r="AH668" s="323">
        <v>1.1200000000000001</v>
      </c>
      <c r="AI668" s="323">
        <v>1.04</v>
      </c>
      <c r="AJ668" s="323">
        <v>0.93</v>
      </c>
      <c r="AK668" s="323">
        <v>4.8099999999999996</v>
      </c>
      <c r="AL668" s="323">
        <v>28</v>
      </c>
      <c r="AM668" s="323">
        <v>0.41150458410449148</v>
      </c>
      <c r="AN668" s="323">
        <v>0.39869551813233606</v>
      </c>
      <c r="AO668" s="323">
        <v>1.707949641039062E-2</v>
      </c>
      <c r="AP668" s="323">
        <v>2.9389288531378184E-2</v>
      </c>
      <c r="AQ668" s="323">
        <v>0.46276458410449151</v>
      </c>
      <c r="AR668" s="323">
        <v>0.44917551813233608</v>
      </c>
      <c r="AS668" s="323">
        <v>6.8851996410390623E-2</v>
      </c>
      <c r="AT668" s="323">
        <v>8.5259688531378164E-2</v>
      </c>
      <c r="AU668" s="190">
        <v>2595435980807806.5</v>
      </c>
      <c r="AV668" s="190">
        <v>2514646818332204</v>
      </c>
      <c r="AW668" s="190">
        <v>861788494805188.25</v>
      </c>
      <c r="AX668" s="190">
        <v>1482909689974432.8</v>
      </c>
      <c r="AY668" s="203">
        <v>2.8</v>
      </c>
      <c r="AZ668" s="239">
        <v>65.61</v>
      </c>
      <c r="BA668" s="203">
        <v>1996</v>
      </c>
      <c r="BB668" s="204">
        <v>39296</v>
      </c>
      <c r="BC668" s="203" t="s">
        <v>2522</v>
      </c>
    </row>
    <row r="669" spans="1:55" x14ac:dyDescent="0.2">
      <c r="A669" s="184" t="s">
        <v>2524</v>
      </c>
      <c r="B669" s="184" t="s">
        <v>2523</v>
      </c>
      <c r="C669" s="184" t="s">
        <v>2259</v>
      </c>
      <c r="D669" s="185" t="s">
        <v>1043</v>
      </c>
      <c r="E669" s="184" t="s">
        <v>2513</v>
      </c>
      <c r="F669" s="184" t="s">
        <v>2513</v>
      </c>
      <c r="G669" s="186">
        <f>IF(ALECA_Input!$F$13="ICAO (3000ft)",'Aircraft Calc'!C$211,'Aircraft Calc'!G$211)</f>
        <v>0.7</v>
      </c>
      <c r="H669" s="186">
        <f>IF(ALECA_Input!$F$13="ICAO (3000ft)",'Aircraft Calc'!D$211,'Aircraft Calc'!H$211)</f>
        <v>2.2000000000000002</v>
      </c>
      <c r="I669" s="186">
        <f>IF(ALECA_Input!$F$13="ICAO (3000ft)",'Aircraft Calc'!E$211,'Aircraft Calc'!I$211)</f>
        <v>4</v>
      </c>
      <c r="J669" s="189">
        <v>1</v>
      </c>
      <c r="K669" s="187">
        <f t="shared" si="157"/>
        <v>183.054</v>
      </c>
      <c r="L669" s="187">
        <f t="shared" si="158"/>
        <v>2.7236642999999998</v>
      </c>
      <c r="M669" s="187">
        <f t="shared" si="159"/>
        <v>8.330220000000001E-3</v>
      </c>
      <c r="N669" s="187">
        <f t="shared" si="160"/>
        <v>0.31336307999999996</v>
      </c>
      <c r="O669" s="187">
        <f t="shared" si="161"/>
        <v>3.3889854190318362E-2</v>
      </c>
      <c r="P669" s="188">
        <f t="shared" si="162"/>
        <v>2.307062961971776E+17</v>
      </c>
      <c r="Q669" s="187">
        <f t="shared" si="163"/>
        <v>6000</v>
      </c>
      <c r="R669" s="219">
        <f t="shared" si="164"/>
        <v>23.700000000000003</v>
      </c>
      <c r="S669" s="219">
        <f t="shared" si="165"/>
        <v>0.66</v>
      </c>
      <c r="T669" s="219">
        <f t="shared" si="166"/>
        <v>118.32</v>
      </c>
      <c r="U669" s="219">
        <f t="shared" si="167"/>
        <v>0.4194197752044096</v>
      </c>
      <c r="V669" s="188">
        <f t="shared" si="168"/>
        <v>6135003685394043</v>
      </c>
      <c r="W669" s="323">
        <v>0.83099999999999996</v>
      </c>
      <c r="X669" s="323">
        <v>0.68600000000000005</v>
      </c>
      <c r="Y669" s="323">
        <v>0.24</v>
      </c>
      <c r="Z669" s="323">
        <v>0.1</v>
      </c>
      <c r="AA669" s="323">
        <v>20.97</v>
      </c>
      <c r="AB669" s="323">
        <v>16.43</v>
      </c>
      <c r="AC669" s="323">
        <v>8.75</v>
      </c>
      <c r="AD669" s="323">
        <v>3.95</v>
      </c>
      <c r="AE669" s="323">
        <v>0.05</v>
      </c>
      <c r="AF669" s="323">
        <v>0.06</v>
      </c>
      <c r="AG669" s="323">
        <v>0.02</v>
      </c>
      <c r="AH669" s="323">
        <v>0.11</v>
      </c>
      <c r="AI669" s="323">
        <v>0.66</v>
      </c>
      <c r="AJ669" s="323">
        <v>0.63</v>
      </c>
      <c r="AK669" s="323">
        <v>4.05</v>
      </c>
      <c r="AL669" s="323">
        <v>19.72</v>
      </c>
      <c r="AM669" s="323">
        <v>0.17825894681054738</v>
      </c>
      <c r="AN669" s="323">
        <v>0.17963401205800492</v>
      </c>
      <c r="AO669" s="323">
        <v>3.0578366473266897E-2</v>
      </c>
      <c r="AP669" s="323">
        <v>2.0264595867401598E-2</v>
      </c>
      <c r="AQ669" s="323">
        <v>0.23296894681054739</v>
      </c>
      <c r="AR669" s="323">
        <v>0.23315401205800493</v>
      </c>
      <c r="AS669" s="323">
        <v>8.0663366473266898E-2</v>
      </c>
      <c r="AT669" s="323">
        <v>6.9903295867401599E-2</v>
      </c>
      <c r="AU669" s="190">
        <v>1124312346264212.4</v>
      </c>
      <c r="AV669" s="190">
        <v>1132985138638995.3</v>
      </c>
      <c r="AW669" s="190">
        <v>1542907576628919.3</v>
      </c>
      <c r="AX669" s="190">
        <v>1022500614232340.5</v>
      </c>
      <c r="AY669" s="203">
        <v>3.3</v>
      </c>
      <c r="AZ669" s="239">
        <v>83.23</v>
      </c>
      <c r="BA669" s="203">
        <v>1999</v>
      </c>
      <c r="BB669" s="204">
        <v>39296</v>
      </c>
      <c r="BC669" s="203" t="s">
        <v>2525</v>
      </c>
    </row>
    <row r="670" spans="1:55" x14ac:dyDescent="0.2">
      <c r="A670" s="184" t="s">
        <v>2527</v>
      </c>
      <c r="B670" s="184" t="s">
        <v>2526</v>
      </c>
      <c r="C670" s="184" t="s">
        <v>2259</v>
      </c>
      <c r="D670" s="185" t="s">
        <v>1043</v>
      </c>
      <c r="E670" s="184" t="s">
        <v>2516</v>
      </c>
      <c r="F670" s="184" t="s">
        <v>2516</v>
      </c>
      <c r="G670" s="186">
        <f>IF(ALECA_Input!$F$13="ICAO (3000ft)",'Aircraft Calc'!C$211,'Aircraft Calc'!G$211)</f>
        <v>0.7</v>
      </c>
      <c r="H670" s="186">
        <f>IF(ALECA_Input!$F$13="ICAO (3000ft)",'Aircraft Calc'!D$211,'Aircraft Calc'!H$211)</f>
        <v>2.2000000000000002</v>
      </c>
      <c r="I670" s="186">
        <f>IF(ALECA_Input!$F$13="ICAO (3000ft)",'Aircraft Calc'!E$211,'Aircraft Calc'!I$211)</f>
        <v>4</v>
      </c>
      <c r="J670" s="189">
        <v>1</v>
      </c>
      <c r="K670" s="187">
        <f t="shared" si="157"/>
        <v>198.90000000000003</v>
      </c>
      <c r="L670" s="187">
        <f t="shared" si="158"/>
        <v>3.2924484000000005</v>
      </c>
      <c r="M670" s="187">
        <f t="shared" si="159"/>
        <v>8.3201999999999998E-3</v>
      </c>
      <c r="N670" s="187">
        <f t="shared" si="160"/>
        <v>0.31131960000000003</v>
      </c>
      <c r="O670" s="187">
        <f t="shared" si="161"/>
        <v>3.8316221422378512E-2</v>
      </c>
      <c r="P670" s="188">
        <f t="shared" si="162"/>
        <v>2.7443161905820845E+17</v>
      </c>
      <c r="Q670" s="187">
        <f t="shared" si="163"/>
        <v>6180</v>
      </c>
      <c r="R670" s="219">
        <f t="shared" si="164"/>
        <v>25.585199999999997</v>
      </c>
      <c r="S670" s="219">
        <f t="shared" si="165"/>
        <v>0.43260000000000004</v>
      </c>
      <c r="T670" s="219">
        <f t="shared" si="166"/>
        <v>114.94800000000001</v>
      </c>
      <c r="U670" s="219">
        <f t="shared" si="167"/>
        <v>0.42373189199115746</v>
      </c>
      <c r="V670" s="188">
        <f t="shared" si="168"/>
        <v>5978705296620992</v>
      </c>
      <c r="W670" s="323">
        <v>0.91</v>
      </c>
      <c r="X670" s="323">
        <v>0.75</v>
      </c>
      <c r="Y670" s="323">
        <v>0.25700000000000001</v>
      </c>
      <c r="Z670" s="323">
        <v>0.10299999999999999</v>
      </c>
      <c r="AA670" s="323">
        <v>24.28</v>
      </c>
      <c r="AB670" s="323">
        <v>18.27</v>
      </c>
      <c r="AC670" s="323">
        <v>9.01</v>
      </c>
      <c r="AD670" s="323">
        <v>4.1399999999999997</v>
      </c>
      <c r="AE670" s="323">
        <v>0.03</v>
      </c>
      <c r="AF670" s="323">
        <v>0.06</v>
      </c>
      <c r="AG670" s="323">
        <v>0.02</v>
      </c>
      <c r="AH670" s="323">
        <v>7.0000000000000007E-2</v>
      </c>
      <c r="AI670" s="323">
        <v>0.72</v>
      </c>
      <c r="AJ670" s="323">
        <v>0.63</v>
      </c>
      <c r="AK670" s="323">
        <v>3.59</v>
      </c>
      <c r="AL670" s="323">
        <v>18.600000000000001</v>
      </c>
      <c r="AM670" s="323">
        <v>0.18662941139551795</v>
      </c>
      <c r="AN670" s="323">
        <v>0.18753438786356161</v>
      </c>
      <c r="AO670" s="323">
        <v>3.6097728929137693E-2</v>
      </c>
      <c r="AP670" s="323">
        <v>1.9173131066530333E-2</v>
      </c>
      <c r="AQ670" s="323">
        <v>0.23903941139551796</v>
      </c>
      <c r="AR670" s="323">
        <v>0.24105438786356159</v>
      </c>
      <c r="AS670" s="323">
        <v>8.6182728929137697E-2</v>
      </c>
      <c r="AT670" s="323">
        <v>6.8565031066530335E-2</v>
      </c>
      <c r="AU670" s="190">
        <v>1177106423898092.5</v>
      </c>
      <c r="AV670" s="190">
        <v>1182814278871461.3</v>
      </c>
      <c r="AW670" s="190">
        <v>1821400744626275.5</v>
      </c>
      <c r="AX670" s="190">
        <v>967428041524432.38</v>
      </c>
      <c r="AY670" s="203">
        <v>4</v>
      </c>
      <c r="AZ670" s="239">
        <v>89.68</v>
      </c>
      <c r="BA670" s="203">
        <v>1999</v>
      </c>
      <c r="BB670" s="204">
        <v>39296</v>
      </c>
      <c r="BC670" s="203" t="s">
        <v>2525</v>
      </c>
    </row>
    <row r="671" spans="1:55" x14ac:dyDescent="0.2">
      <c r="A671" s="184" t="s">
        <v>2529</v>
      </c>
      <c r="B671" s="184" t="s">
        <v>2528</v>
      </c>
      <c r="C671" s="184" t="s">
        <v>2259</v>
      </c>
      <c r="D671" s="185" t="s">
        <v>1043</v>
      </c>
      <c r="E671" s="184" t="s">
        <v>2519</v>
      </c>
      <c r="F671" s="184" t="s">
        <v>2519</v>
      </c>
      <c r="G671" s="186">
        <f>IF(ALECA_Input!$F$13="ICAO (3000ft)",'Aircraft Calc'!C$211,'Aircraft Calc'!G$211)</f>
        <v>0.7</v>
      </c>
      <c r="H671" s="186">
        <f>IF(ALECA_Input!$F$13="ICAO (3000ft)",'Aircraft Calc'!D$211,'Aircraft Calc'!H$211)</f>
        <v>2.2000000000000002</v>
      </c>
      <c r="I671" s="186">
        <f>IF(ALECA_Input!$F$13="ICAO (3000ft)",'Aircraft Calc'!E$211,'Aircraft Calc'!I$211)</f>
        <v>4</v>
      </c>
      <c r="J671" s="189">
        <v>1</v>
      </c>
      <c r="K671" s="187">
        <f t="shared" si="157"/>
        <v>212.86800000000002</v>
      </c>
      <c r="L671" s="187">
        <f t="shared" si="158"/>
        <v>3.8869251600000001</v>
      </c>
      <c r="M671" s="187">
        <f t="shared" si="159"/>
        <v>8.0944800000000011E-3</v>
      </c>
      <c r="N671" s="187">
        <f t="shared" si="160"/>
        <v>0.31192320000000001</v>
      </c>
      <c r="O671" s="187">
        <f t="shared" si="161"/>
        <v>4.2400413071077211E-2</v>
      </c>
      <c r="P671" s="188">
        <f t="shared" si="162"/>
        <v>3.1729804394091443E+17</v>
      </c>
      <c r="Q671" s="187">
        <f t="shared" si="163"/>
        <v>6300</v>
      </c>
      <c r="R671" s="219">
        <f t="shared" si="164"/>
        <v>26.964000000000002</v>
      </c>
      <c r="S671" s="219">
        <f t="shared" si="165"/>
        <v>0.378</v>
      </c>
      <c r="T671" s="219">
        <f t="shared" si="166"/>
        <v>112.45500000000001</v>
      </c>
      <c r="U671" s="219">
        <f t="shared" si="167"/>
        <v>0.42663021683927971</v>
      </c>
      <c r="V671" s="188">
        <f t="shared" si="168"/>
        <v>5845497872351237</v>
      </c>
      <c r="W671" s="323">
        <v>0.98399999999999999</v>
      </c>
      <c r="X671" s="323">
        <v>0.80500000000000005</v>
      </c>
      <c r="Y671" s="323">
        <v>0.27200000000000002</v>
      </c>
      <c r="Z671" s="323">
        <v>0.105</v>
      </c>
      <c r="AA671" s="323">
        <v>27.92</v>
      </c>
      <c r="AB671" s="323">
        <v>20.05</v>
      </c>
      <c r="AC671" s="323">
        <v>9.23</v>
      </c>
      <c r="AD671" s="323">
        <v>4.28</v>
      </c>
      <c r="AE671" s="323">
        <v>0.01</v>
      </c>
      <c r="AF671" s="323">
        <v>0.06</v>
      </c>
      <c r="AG671" s="323">
        <v>0.02</v>
      </c>
      <c r="AH671" s="323">
        <v>0.06</v>
      </c>
      <c r="AI671" s="323">
        <v>0.8</v>
      </c>
      <c r="AJ671" s="323">
        <v>0.64</v>
      </c>
      <c r="AK671" s="323">
        <v>3.23</v>
      </c>
      <c r="AL671" s="323">
        <v>17.850000000000001</v>
      </c>
      <c r="AM671" s="323">
        <v>0.19728999791982615</v>
      </c>
      <c r="AN671" s="323">
        <v>0.19305809299963253</v>
      </c>
      <c r="AO671" s="323">
        <v>4.1435799554315034E-2</v>
      </c>
      <c r="AP671" s="323">
        <v>1.8388882037980919E-2</v>
      </c>
      <c r="AQ671" s="323">
        <v>0.24739999791982617</v>
      </c>
      <c r="AR671" s="323">
        <v>0.24657809299963251</v>
      </c>
      <c r="AS671" s="323">
        <v>9.1520799554315024E-2</v>
      </c>
      <c r="AT671" s="323">
        <v>6.771908203798091E-2</v>
      </c>
      <c r="AU671" s="190">
        <v>1244344726727493.3</v>
      </c>
      <c r="AV671" s="190">
        <v>1217653314963197.8</v>
      </c>
      <c r="AW671" s="190">
        <v>2090746382149680.8</v>
      </c>
      <c r="AX671" s="190">
        <v>927856805135117</v>
      </c>
      <c r="AY671" s="203">
        <v>4.5999999999999996</v>
      </c>
      <c r="AZ671" s="239">
        <v>95.33</v>
      </c>
      <c r="BA671" s="203">
        <v>1999</v>
      </c>
      <c r="BB671" s="204">
        <v>39296</v>
      </c>
      <c r="BC671" s="203" t="s">
        <v>2525</v>
      </c>
    </row>
    <row r="672" spans="1:55" x14ac:dyDescent="0.2">
      <c r="A672" s="184" t="s">
        <v>2531</v>
      </c>
      <c r="B672" s="184" t="s">
        <v>2530</v>
      </c>
      <c r="C672" s="184" t="s">
        <v>2259</v>
      </c>
      <c r="D672" s="185" t="s">
        <v>1043</v>
      </c>
      <c r="E672" s="184" t="s">
        <v>2510</v>
      </c>
      <c r="F672" s="184" t="s">
        <v>2510</v>
      </c>
      <c r="G672" s="186">
        <f>IF(ALECA_Input!$F$13="ICAO (3000ft)",'Aircraft Calc'!C$211,'Aircraft Calc'!G$211)</f>
        <v>0.7</v>
      </c>
      <c r="H672" s="186">
        <f>IF(ALECA_Input!$F$13="ICAO (3000ft)",'Aircraft Calc'!D$211,'Aircraft Calc'!H$211)</f>
        <v>2.2000000000000002</v>
      </c>
      <c r="I672" s="186">
        <f>IF(ALECA_Input!$F$13="ICAO (3000ft)",'Aircraft Calc'!E$211,'Aircraft Calc'!I$211)</f>
        <v>4</v>
      </c>
      <c r="J672" s="189">
        <v>1</v>
      </c>
      <c r="K672" s="187">
        <f t="shared" si="157"/>
        <v>159.714</v>
      </c>
      <c r="L672" s="187">
        <f t="shared" si="158"/>
        <v>2.1387386999999998</v>
      </c>
      <c r="M672" s="187">
        <f t="shared" si="159"/>
        <v>4.73508E-3</v>
      </c>
      <c r="N672" s="187">
        <f t="shared" si="160"/>
        <v>0.34956408</v>
      </c>
      <c r="O672" s="187">
        <f t="shared" si="161"/>
        <v>5.2861372648630653E-2</v>
      </c>
      <c r="P672" s="188">
        <f t="shared" si="162"/>
        <v>3.2158501450698739E+17</v>
      </c>
      <c r="Q672" s="187">
        <f t="shared" si="163"/>
        <v>5340</v>
      </c>
      <c r="R672" s="219">
        <f t="shared" si="164"/>
        <v>25.044600000000003</v>
      </c>
      <c r="S672" s="219">
        <f t="shared" si="165"/>
        <v>5.8206000000000007</v>
      </c>
      <c r="T672" s="219">
        <f t="shared" si="166"/>
        <v>148.55879999999999</v>
      </c>
      <c r="U672" s="219">
        <f t="shared" si="167"/>
        <v>0.45306673702812961</v>
      </c>
      <c r="V672" s="188">
        <f t="shared" si="168"/>
        <v>7856596030755022</v>
      </c>
      <c r="W672" s="323">
        <v>0.71299999999999997</v>
      </c>
      <c r="X672" s="323">
        <v>0.59399999999999997</v>
      </c>
      <c r="Y672" s="323">
        <v>0.214</v>
      </c>
      <c r="Z672" s="323">
        <v>8.8999999999999996E-2</v>
      </c>
      <c r="AA672" s="323">
        <v>18.79</v>
      </c>
      <c r="AB672" s="323">
        <v>15.07</v>
      </c>
      <c r="AC672" s="323">
        <v>7.68</v>
      </c>
      <c r="AD672" s="323">
        <v>4.6900000000000004</v>
      </c>
      <c r="AE672" s="323">
        <v>0.02</v>
      </c>
      <c r="AF672" s="323">
        <v>0.02</v>
      </c>
      <c r="AG672" s="323">
        <v>0.05</v>
      </c>
      <c r="AH672" s="323">
        <v>1.0900000000000001</v>
      </c>
      <c r="AI672" s="323">
        <v>1.04</v>
      </c>
      <c r="AJ672" s="323">
        <v>0.93</v>
      </c>
      <c r="AK672" s="323">
        <v>4.78</v>
      </c>
      <c r="AL672" s="323">
        <v>27.82</v>
      </c>
      <c r="AM672" s="323">
        <v>0.41322148640115924</v>
      </c>
      <c r="AN672" s="323">
        <v>0.40095536422244776</v>
      </c>
      <c r="AO672" s="323">
        <v>1.7461651458486296E-2</v>
      </c>
      <c r="AP672" s="323">
        <v>2.9158658244968109E-2</v>
      </c>
      <c r="AQ672" s="323">
        <v>0.46448148640115927</v>
      </c>
      <c r="AR672" s="323">
        <v>0.45143536422244773</v>
      </c>
      <c r="AS672" s="323">
        <v>6.9234151458486298E-2</v>
      </c>
      <c r="AT672" s="323">
        <v>8.4843958244968098E-2</v>
      </c>
      <c r="AU672" s="190">
        <v>2606264803057747</v>
      </c>
      <c r="AV672" s="190">
        <v>2528900088113214</v>
      </c>
      <c r="AW672" s="190">
        <v>881071078774128.88</v>
      </c>
      <c r="AX672" s="190">
        <v>1471272664935397.5</v>
      </c>
      <c r="AY672" s="203">
        <v>2.8</v>
      </c>
      <c r="AZ672" s="239">
        <v>65.61</v>
      </c>
      <c r="BA672" s="203">
        <v>1996</v>
      </c>
      <c r="BB672" s="204">
        <v>39296</v>
      </c>
      <c r="BC672" s="203" t="s">
        <v>2522</v>
      </c>
    </row>
    <row r="673" spans="1:55" x14ac:dyDescent="0.2">
      <c r="A673" s="184" t="s">
        <v>2533</v>
      </c>
      <c r="B673" s="184" t="s">
        <v>2532</v>
      </c>
      <c r="C673" s="184" t="s">
        <v>2259</v>
      </c>
      <c r="D673" s="185" t="s">
        <v>1043</v>
      </c>
      <c r="E673" s="184" t="s">
        <v>2534</v>
      </c>
      <c r="F673" s="184" t="s">
        <v>2535</v>
      </c>
      <c r="G673" s="186">
        <f>IF(ALECA_Input!$F$13="ICAO (3000ft)",'Aircraft Calc'!C$211,'Aircraft Calc'!G$211)</f>
        <v>0.7</v>
      </c>
      <c r="H673" s="186">
        <f>IF(ALECA_Input!$F$13="ICAO (3000ft)",'Aircraft Calc'!D$211,'Aircraft Calc'!H$211)</f>
        <v>2.2000000000000002</v>
      </c>
      <c r="I673" s="186">
        <f>IF(ALECA_Input!$F$13="ICAO (3000ft)",'Aircraft Calc'!E$211,'Aircraft Calc'!I$211)</f>
        <v>4</v>
      </c>
      <c r="J673" s="189">
        <v>1</v>
      </c>
      <c r="K673" s="187">
        <f t="shared" si="157"/>
        <v>164.41800000000001</v>
      </c>
      <c r="L673" s="187">
        <f t="shared" si="158"/>
        <v>2.2669373999999998</v>
      </c>
      <c r="M673" s="187">
        <f t="shared" si="159"/>
        <v>4.8363600000000005E-3</v>
      </c>
      <c r="N673" s="187">
        <f t="shared" si="160"/>
        <v>0.36142943999999999</v>
      </c>
      <c r="O673" s="187">
        <f t="shared" si="161"/>
        <v>5.5023843241768164E-2</v>
      </c>
      <c r="P673" s="188">
        <f t="shared" si="162"/>
        <v>3.3516184733311418E+17</v>
      </c>
      <c r="Q673" s="187">
        <f t="shared" si="163"/>
        <v>4980</v>
      </c>
      <c r="R673" s="219">
        <f t="shared" si="164"/>
        <v>22.410000000000004</v>
      </c>
      <c r="S673" s="219">
        <f t="shared" si="165"/>
        <v>11.404200000000001</v>
      </c>
      <c r="T673" s="219">
        <f t="shared" si="166"/>
        <v>157.21860000000001</v>
      </c>
      <c r="U673" s="219">
        <f t="shared" si="167"/>
        <v>0.440712013323662</v>
      </c>
      <c r="V673" s="188">
        <f t="shared" si="168"/>
        <v>6384249758650256</v>
      </c>
      <c r="W673" s="323">
        <v>0.747</v>
      </c>
      <c r="X673" s="323">
        <v>0.61699999999999999</v>
      </c>
      <c r="Y673" s="323">
        <v>0.215</v>
      </c>
      <c r="Z673" s="323">
        <v>8.3000000000000004E-2</v>
      </c>
      <c r="AA673" s="323">
        <v>19.52</v>
      </c>
      <c r="AB673" s="323">
        <v>15.43</v>
      </c>
      <c r="AC673" s="323">
        <v>7.71</v>
      </c>
      <c r="AD673" s="323">
        <v>4.5</v>
      </c>
      <c r="AE673" s="323">
        <v>0.02</v>
      </c>
      <c r="AF673" s="323">
        <v>0.02</v>
      </c>
      <c r="AG673" s="323">
        <v>0.05</v>
      </c>
      <c r="AH673" s="323">
        <v>2.29</v>
      </c>
      <c r="AI673" s="323">
        <v>1.04</v>
      </c>
      <c r="AJ673" s="323">
        <v>0.92</v>
      </c>
      <c r="AK673" s="323">
        <v>4.92</v>
      </c>
      <c r="AL673" s="323">
        <v>31.57</v>
      </c>
      <c r="AM673" s="323">
        <v>0.41201420107583214</v>
      </c>
      <c r="AN673" s="323">
        <v>0.40244558677247605</v>
      </c>
      <c r="AO673" s="323">
        <v>1.8014456746462428E-2</v>
      </c>
      <c r="AP673" s="323">
        <v>2.5407088217602816E-2</v>
      </c>
      <c r="AQ673" s="323">
        <v>0.46327420107583217</v>
      </c>
      <c r="AR673" s="323">
        <v>0.45292558677247607</v>
      </c>
      <c r="AS673" s="323">
        <v>6.9786956746462431E-2</v>
      </c>
      <c r="AT673" s="323">
        <v>8.8496388217602806E-2</v>
      </c>
      <c r="AU673" s="190">
        <v>2598650229870733.5</v>
      </c>
      <c r="AV673" s="190">
        <v>2538299199022687</v>
      </c>
      <c r="AW673" s="190">
        <v>908964245270271.75</v>
      </c>
      <c r="AX673" s="190">
        <v>1281977863182782.3</v>
      </c>
      <c r="AY673" s="203">
        <v>2.8</v>
      </c>
      <c r="AZ673" s="239">
        <v>68.77</v>
      </c>
      <c r="BA673" s="203">
        <v>1996</v>
      </c>
      <c r="BB673" s="204">
        <v>39296</v>
      </c>
      <c r="BC673" s="203" t="s">
        <v>3218</v>
      </c>
    </row>
    <row r="674" spans="1:55" x14ac:dyDescent="0.2">
      <c r="A674" s="184" t="s">
        <v>2537</v>
      </c>
      <c r="B674" s="184" t="s">
        <v>2536</v>
      </c>
      <c r="C674" s="184" t="s">
        <v>2259</v>
      </c>
      <c r="D674" s="185" t="s">
        <v>1043</v>
      </c>
      <c r="E674" s="184" t="s">
        <v>2538</v>
      </c>
      <c r="F674" s="184" t="s">
        <v>2539</v>
      </c>
      <c r="G674" s="186">
        <f>IF(ALECA_Input!$F$13="ICAO (3000ft)",'Aircraft Calc'!C$211,'Aircraft Calc'!G$211)</f>
        <v>0.7</v>
      </c>
      <c r="H674" s="186">
        <f>IF(ALECA_Input!$F$13="ICAO (3000ft)",'Aircraft Calc'!D$211,'Aircraft Calc'!H$211)</f>
        <v>2.2000000000000002</v>
      </c>
      <c r="I674" s="186">
        <f>IF(ALECA_Input!$F$13="ICAO (3000ft)",'Aircraft Calc'!E$211,'Aircraft Calc'!I$211)</f>
        <v>4</v>
      </c>
      <c r="J674" s="189">
        <v>1</v>
      </c>
      <c r="K674" s="187">
        <f t="shared" si="157"/>
        <v>171.97800000000001</v>
      </c>
      <c r="L674" s="187">
        <f t="shared" si="158"/>
        <v>2.1177933600000003</v>
      </c>
      <c r="M674" s="187">
        <f t="shared" si="159"/>
        <v>0</v>
      </c>
      <c r="N674" s="187">
        <f t="shared" si="160"/>
        <v>0.35523840000000001</v>
      </c>
      <c r="O674" s="187">
        <f t="shared" si="161"/>
        <v>3.134517163260836E-2</v>
      </c>
      <c r="P674" s="188">
        <f t="shared" si="162"/>
        <v>1.7751135967447213E+17</v>
      </c>
      <c r="Q674" s="187">
        <f t="shared" si="163"/>
        <v>5100.0000000000009</v>
      </c>
      <c r="R674" s="219">
        <f t="shared" si="164"/>
        <v>17.238</v>
      </c>
      <c r="S674" s="219">
        <f t="shared" si="165"/>
        <v>15.3</v>
      </c>
      <c r="T674" s="219">
        <f t="shared" si="166"/>
        <v>213.69000000000003</v>
      </c>
      <c r="U674" s="219">
        <f t="shared" si="167"/>
        <v>0.44553045419883397</v>
      </c>
      <c r="V674" s="188">
        <f t="shared" si="168"/>
        <v>5118077355238889</v>
      </c>
      <c r="W674" s="323">
        <v>0.78900000000000003</v>
      </c>
      <c r="X674" s="323">
        <v>0.65</v>
      </c>
      <c r="Y674" s="323">
        <v>0.221</v>
      </c>
      <c r="Z674" s="323">
        <v>8.5000000000000006E-2</v>
      </c>
      <c r="AA674" s="323">
        <v>16.920000000000002</v>
      </c>
      <c r="AB674" s="323">
        <v>13.32</v>
      </c>
      <c r="AC674" s="323">
        <v>7.81</v>
      </c>
      <c r="AD674" s="323">
        <v>3.38</v>
      </c>
      <c r="AE674" s="323">
        <v>0</v>
      </c>
      <c r="AF674" s="323">
        <v>0</v>
      </c>
      <c r="AG674" s="323">
        <v>0</v>
      </c>
      <c r="AH674" s="323">
        <v>3</v>
      </c>
      <c r="AI674" s="323">
        <v>0.4</v>
      </c>
      <c r="AJ674" s="323">
        <v>0.32</v>
      </c>
      <c r="AK674" s="323">
        <v>5.93</v>
      </c>
      <c r="AL674" s="323">
        <v>41.9</v>
      </c>
      <c r="AM674" s="323">
        <v>0.15919097689459333</v>
      </c>
      <c r="AN674" s="323">
        <v>0.1970193677446351</v>
      </c>
      <c r="AO674" s="323">
        <v>1.4057247507270566E-2</v>
      </c>
      <c r="AP674" s="323">
        <v>1.9888912588006655E-2</v>
      </c>
      <c r="AQ674" s="323">
        <v>0.2081509768945933</v>
      </c>
      <c r="AR674" s="323">
        <v>0.24597936774463514</v>
      </c>
      <c r="AS674" s="323">
        <v>6.3017247507270557E-2</v>
      </c>
      <c r="AT674" s="323">
        <v>8.7358912588006654E-2</v>
      </c>
      <c r="AU674" s="190">
        <v>1004047112017729.9</v>
      </c>
      <c r="AV674" s="190">
        <v>1242637811856273</v>
      </c>
      <c r="AW674" s="190">
        <v>709293405338619.25</v>
      </c>
      <c r="AX674" s="190">
        <v>1003544579458605.6</v>
      </c>
      <c r="AY674" s="203">
        <v>2.6</v>
      </c>
      <c r="AZ674" s="239">
        <v>75.7</v>
      </c>
      <c r="BA674" s="203">
        <v>2008</v>
      </c>
      <c r="BB674" s="204">
        <v>41943</v>
      </c>
      <c r="BC674" s="203" t="s">
        <v>2540</v>
      </c>
    </row>
    <row r="675" spans="1:55" x14ac:dyDescent="0.2">
      <c r="A675" s="184" t="s">
        <v>3665</v>
      </c>
      <c r="B675" s="184" t="s">
        <v>3666</v>
      </c>
      <c r="C675" s="184" t="s">
        <v>2259</v>
      </c>
      <c r="D675" s="185" t="s">
        <v>1043</v>
      </c>
      <c r="E675" s="184" t="s">
        <v>3667</v>
      </c>
      <c r="F675" s="184" t="s">
        <v>3667</v>
      </c>
      <c r="G675" s="186">
        <f>IF(ALECA_Input!$F$13="ICAO (3000ft)",'Aircraft Calc'!C$211,'Aircraft Calc'!G$211)</f>
        <v>0.7</v>
      </c>
      <c r="H675" s="186">
        <f>IF(ALECA_Input!$F$13="ICAO (3000ft)",'Aircraft Calc'!D$211,'Aircraft Calc'!H$211)</f>
        <v>2.2000000000000002</v>
      </c>
      <c r="I675" s="186">
        <f>IF(ALECA_Input!$F$13="ICAO (3000ft)",'Aircraft Calc'!E$211,'Aircraft Calc'!I$211)</f>
        <v>4</v>
      </c>
      <c r="J675" s="189">
        <v>1</v>
      </c>
      <c r="K675" s="187">
        <f t="shared" ref="K675" si="169">(G675*W675*60+H675*X675*60+I675*Y675*60)</f>
        <v>150.37199999999999</v>
      </c>
      <c r="L675" s="187">
        <f t="shared" ref="L675" si="170">(G675*W675*60*AA675+H675*X675*60*AB675+I675*Y675*60*AC675)/1000</f>
        <v>2.6973601199999999</v>
      </c>
      <c r="M675" s="187">
        <f t="shared" ref="M675" si="171">(G675*W675*60*AE675+H675*X675*60*AF675+I675*Y675*60*AG675)/1000</f>
        <v>1.04568E-3</v>
      </c>
      <c r="N675" s="187">
        <f t="shared" ref="N675" si="172">(G675*W675*60*AI675+H675*X675*60*AJ675+I675*Y675*60*AK675)/1000</f>
        <v>0.19034351999999999</v>
      </c>
      <c r="O675" s="187">
        <f t="shared" ref="O675" si="173">(G675*W675*60*AQ675+H675*X675*60*AR675+I675*Y675*60*AS675)/1000</f>
        <v>9.722797176555319E-3</v>
      </c>
      <c r="P675" s="188">
        <f t="shared" ref="P675" si="174">(G675*W675*60*AU675+H675*X675*60*AV675+I675*Y675*60*AW675)</f>
        <v>4.7713239219928888E+16</v>
      </c>
      <c r="Q675" s="187">
        <f t="shared" ref="Q675" si="175">J675*Z675*60*1000</f>
        <v>4800</v>
      </c>
      <c r="R675" s="219">
        <f t="shared" ref="R675" si="176">J675*Z675*60*AD675</f>
        <v>14.735999999999999</v>
      </c>
      <c r="S675" s="219">
        <f t="shared" ref="S675" si="177">J675*Z675*60*AH675</f>
        <v>10.223999999999998</v>
      </c>
      <c r="T675" s="219">
        <f t="shared" ref="T675" si="178">J675*Z675*60*AL675</f>
        <v>167.85599999999999</v>
      </c>
      <c r="U675" s="219">
        <f t="shared" ref="U675" si="179">J675*Z675*60*AT675</f>
        <v>0.37168468005460792</v>
      </c>
      <c r="V675" s="188">
        <f t="shared" ref="V675" si="180">J675*Z675*60*AX675</f>
        <v>4170562979434318.5</v>
      </c>
      <c r="W675" s="323">
        <v>0.68200000000000005</v>
      </c>
      <c r="X675" s="323">
        <v>0.56399999999999995</v>
      </c>
      <c r="Y675" s="323">
        <v>0.19700000000000001</v>
      </c>
      <c r="Z675" s="323">
        <v>0.08</v>
      </c>
      <c r="AA675" s="323">
        <v>26.63</v>
      </c>
      <c r="AB675" s="323">
        <v>20.2</v>
      </c>
      <c r="AC675" s="323">
        <v>9.11</v>
      </c>
      <c r="AD675" s="323">
        <v>3.07</v>
      </c>
      <c r="AE675" s="323">
        <v>0.02</v>
      </c>
      <c r="AF675" s="323">
        <v>0</v>
      </c>
      <c r="AG675" s="323">
        <v>0.01</v>
      </c>
      <c r="AH675" s="323">
        <v>2.13</v>
      </c>
      <c r="AI675" s="323">
        <v>0.32</v>
      </c>
      <c r="AJ675" s="323">
        <v>0.63</v>
      </c>
      <c r="AK675" s="323">
        <v>2.84</v>
      </c>
      <c r="AL675" s="323">
        <v>34.97</v>
      </c>
      <c r="AM675" s="323">
        <v>9.8233431896969942E-3</v>
      </c>
      <c r="AN675" s="323">
        <v>1.8514840732264934E-2</v>
      </c>
      <c r="AO675" s="323">
        <v>1.286664871814679E-2</v>
      </c>
      <c r="AP675" s="323">
        <v>1.5332208344709988E-2</v>
      </c>
      <c r="AQ675" s="323">
        <v>6.1083343189696999E-2</v>
      </c>
      <c r="AR675" s="323">
        <v>6.7474840732264924E-2</v>
      </c>
      <c r="AS675" s="323">
        <v>6.238914871814679E-2</v>
      </c>
      <c r="AT675" s="323">
        <v>7.743430834470999E-2</v>
      </c>
      <c r="AU675" s="190">
        <v>64616951953918.734</v>
      </c>
      <c r="AV675" s="190">
        <v>152970579528400.03</v>
      </c>
      <c r="AW675" s="190">
        <v>729145464116550.63</v>
      </c>
      <c r="AX675" s="190">
        <v>868867287382149.75</v>
      </c>
      <c r="AY675" s="203">
        <v>3.1</v>
      </c>
      <c r="AZ675" s="239">
        <v>68.400000000000006</v>
      </c>
      <c r="BA675" s="203">
        <v>2018</v>
      </c>
      <c r="BB675" s="204">
        <v>43696</v>
      </c>
    </row>
    <row r="676" spans="1:55" x14ac:dyDescent="0.2">
      <c r="A676" s="184" t="s">
        <v>2542</v>
      </c>
      <c r="B676" s="184" t="s">
        <v>2541</v>
      </c>
      <c r="C676" s="184" t="s">
        <v>2259</v>
      </c>
      <c r="D676" s="185" t="s">
        <v>1043</v>
      </c>
      <c r="E676" s="184" t="s">
        <v>2543</v>
      </c>
      <c r="F676" s="184" t="s">
        <v>2544</v>
      </c>
      <c r="G676" s="186">
        <f>IF(ALECA_Input!$F$13="ICAO (3000ft)",'Aircraft Calc'!C$211,'Aircraft Calc'!G$211)</f>
        <v>0.7</v>
      </c>
      <c r="H676" s="186">
        <f>IF(ALECA_Input!$F$13="ICAO (3000ft)",'Aircraft Calc'!D$211,'Aircraft Calc'!H$211)</f>
        <v>2.2000000000000002</v>
      </c>
      <c r="I676" s="186">
        <f>IF(ALECA_Input!$F$13="ICAO (3000ft)",'Aircraft Calc'!E$211,'Aircraft Calc'!I$211)</f>
        <v>4</v>
      </c>
      <c r="J676" s="189">
        <v>1</v>
      </c>
      <c r="K676" s="187">
        <f t="shared" si="157"/>
        <v>855.798</v>
      </c>
      <c r="L676" s="187">
        <f t="shared" si="158"/>
        <v>8.2416390000000003E-4</v>
      </c>
      <c r="M676" s="187">
        <f t="shared" si="159"/>
        <v>4.5017405999999998</v>
      </c>
      <c r="N676" s="187">
        <f t="shared" si="160"/>
        <v>28.737403199999999</v>
      </c>
      <c r="O676" s="187">
        <f t="shared" si="161"/>
        <v>0.49111892934169293</v>
      </c>
      <c r="P676" s="188">
        <f t="shared" si="162"/>
        <v>2.0444636093536456E+18</v>
      </c>
      <c r="Q676" s="187">
        <f t="shared" si="163"/>
        <v>25259.999999999996</v>
      </c>
      <c r="R676" s="219">
        <f t="shared" si="164"/>
        <v>3.2837999999999995E-3</v>
      </c>
      <c r="S676" s="219">
        <f t="shared" si="165"/>
        <v>843.68399999999986</v>
      </c>
      <c r="T676" s="219">
        <f t="shared" si="166"/>
        <v>2528.5259999999998</v>
      </c>
      <c r="U676" s="219">
        <f t="shared" si="167"/>
        <v>9.4521489798335185</v>
      </c>
      <c r="V676" s="188">
        <f t="shared" si="168"/>
        <v>1.5187144483358608E+17</v>
      </c>
      <c r="W676" s="323">
        <v>6.3650000000000002</v>
      </c>
      <c r="X676" s="323">
        <v>2.3290000000000002</v>
      </c>
      <c r="Y676" s="323">
        <v>1.171</v>
      </c>
      <c r="Z676" s="323">
        <v>0.42099999999999999</v>
      </c>
      <c r="AA676" s="323">
        <v>1.91E-3</v>
      </c>
      <c r="AB676" s="323">
        <v>6.9999999999999999E-4</v>
      </c>
      <c r="AC676" s="323">
        <v>3.5E-4</v>
      </c>
      <c r="AD676" s="323">
        <v>1.2999999999999999E-4</v>
      </c>
      <c r="AE676" s="323">
        <v>2.9</v>
      </c>
      <c r="AF676" s="323">
        <v>1.7</v>
      </c>
      <c r="AG676" s="323">
        <v>11.4</v>
      </c>
      <c r="AH676" s="323">
        <v>33.4</v>
      </c>
      <c r="AI676" s="323">
        <v>29</v>
      </c>
      <c r="AJ676" s="323">
        <v>19.899999999999999</v>
      </c>
      <c r="AK676" s="323">
        <v>52.9</v>
      </c>
      <c r="AL676" s="323">
        <v>100.1</v>
      </c>
      <c r="AM676" s="323">
        <v>0.20629838166586137</v>
      </c>
      <c r="AN676" s="323">
        <v>0.1909049709939579</v>
      </c>
      <c r="AO676" s="323">
        <v>9.3540516895202555E-2</v>
      </c>
      <c r="AP676" s="323">
        <v>0.11915633807733643</v>
      </c>
      <c r="AQ676" s="323">
        <v>0.58875838166586136</v>
      </c>
      <c r="AR676" s="323">
        <v>0.36906497099395791</v>
      </c>
      <c r="AS676" s="323">
        <v>0.78375051689520259</v>
      </c>
      <c r="AT676" s="323">
        <v>0.37419433807733649</v>
      </c>
      <c r="AU676" s="190">
        <v>1301162279208140.8</v>
      </c>
      <c r="AV676" s="190">
        <v>1204073173840935</v>
      </c>
      <c r="AW676" s="190">
        <v>4719819561504990</v>
      </c>
      <c r="AX676" s="190">
        <v>6012329565858515</v>
      </c>
      <c r="AY676" s="203">
        <v>0</v>
      </c>
      <c r="AZ676" s="239">
        <v>164.9</v>
      </c>
      <c r="BA676" s="203">
        <v>1977</v>
      </c>
      <c r="BB676" s="204">
        <v>38616</v>
      </c>
      <c r="BC676" s="203" t="s">
        <v>3219</v>
      </c>
    </row>
    <row r="677" spans="1:55" x14ac:dyDescent="0.2">
      <c r="A677" s="184" t="s">
        <v>2546</v>
      </c>
      <c r="B677" s="184" t="s">
        <v>2545</v>
      </c>
      <c r="C677" s="184" t="s">
        <v>740</v>
      </c>
      <c r="D677" s="185" t="s">
        <v>1043</v>
      </c>
      <c r="E677" s="184" t="s">
        <v>2547</v>
      </c>
      <c r="F677" s="184" t="s">
        <v>3220</v>
      </c>
      <c r="G677" s="186">
        <f>IF(ALECA_Input!$F$13="ICAO (3000ft)",'Aircraft Calc'!C$211,'Aircraft Calc'!G$211)</f>
        <v>0.7</v>
      </c>
      <c r="H677" s="186">
        <f>IF(ALECA_Input!$F$13="ICAO (3000ft)",'Aircraft Calc'!D$211,'Aircraft Calc'!H$211)</f>
        <v>2.2000000000000002</v>
      </c>
      <c r="I677" s="186">
        <f>IF(ALECA_Input!$F$13="ICAO (3000ft)",'Aircraft Calc'!E$211,'Aircraft Calc'!I$211)</f>
        <v>4</v>
      </c>
      <c r="J677" s="189">
        <v>1</v>
      </c>
      <c r="K677" s="187">
        <f t="shared" ref="K677:K743" si="181">(G677*W677*60+H677*X677*60+I677*Y677*60)</f>
        <v>77.55</v>
      </c>
      <c r="L677" s="187">
        <f t="shared" ref="L677:L743" si="182">(G677*W677*60*AA677+H677*X677*60*AB677+I677*Y677*60*AC677)/1000</f>
        <v>1.4352490199999999</v>
      </c>
      <c r="M677" s="187">
        <f t="shared" ref="M677:M743" si="183">(G677*W677*60*AE677+H677*X677*60*AF677+I677*Y677*60*AG677)/1000</f>
        <v>2.5227000000000001E-3</v>
      </c>
      <c r="N677" s="187">
        <f t="shared" ref="N677:N743" si="184">(G677*W677*60*AI677+H677*X677*60*AJ677+I677*Y677*60*AK677)/1000</f>
        <v>0.10572582</v>
      </c>
      <c r="O677" s="187">
        <f t="shared" ref="O677:O743" si="185">(G677*W677*60*AQ677+H677*X677*60*AR677+I677*Y677*60*AS677)/1000</f>
        <v>1.2904898090441257E-2</v>
      </c>
      <c r="P677" s="188">
        <f t="shared" ref="P677:P743" si="186">(G677*W677*60*AU677+H677*X677*60*AV677+I677*Y677*60*AW677)</f>
        <v>1.6595505983014032E+17</v>
      </c>
      <c r="Q677" s="187">
        <f t="shared" ref="Q677:Q743" si="187">J677*Z677*60*1000</f>
        <v>2880</v>
      </c>
      <c r="R677" s="219">
        <f t="shared" ref="R677:R743" si="188">J677*Z677*60*AD677</f>
        <v>12.096</v>
      </c>
      <c r="S677" s="219">
        <f t="shared" ref="S677:S743" si="189">J677*Z677*60*AH677</f>
        <v>12.383999999999999</v>
      </c>
      <c r="T677" s="219">
        <f t="shared" ref="T677:T743" si="190">J677*Z677*60*AL677</f>
        <v>87.004800000000003</v>
      </c>
      <c r="U677" s="219">
        <f t="shared" ref="U677:U743" si="191">J677*Z677*60*AT677</f>
        <v>0.36787805432824344</v>
      </c>
      <c r="V677" s="188">
        <f t="shared" ref="V677:V743" si="192">J677*Z677*60*AX677</f>
        <v>7592034263952741</v>
      </c>
      <c r="W677" s="323">
        <v>0.34699999999999998</v>
      </c>
      <c r="X677" s="323">
        <v>0.28799999999999998</v>
      </c>
      <c r="Y677" s="323">
        <v>0.104</v>
      </c>
      <c r="Z677" s="323">
        <v>4.8000000000000001E-2</v>
      </c>
      <c r="AA677" s="323">
        <v>26.29</v>
      </c>
      <c r="AB677" s="323">
        <v>21.51</v>
      </c>
      <c r="AC677" s="323">
        <v>9.39</v>
      </c>
      <c r="AD677" s="323">
        <v>4.2</v>
      </c>
      <c r="AE677" s="323">
        <v>0.01</v>
      </c>
      <c r="AF677" s="323">
        <v>0.01</v>
      </c>
      <c r="AG677" s="323">
        <v>0.08</v>
      </c>
      <c r="AH677" s="323">
        <v>4.3</v>
      </c>
      <c r="AI677" s="323">
        <v>0.69</v>
      </c>
      <c r="AJ677" s="323">
        <v>0.56000000000000005</v>
      </c>
      <c r="AK677" s="323">
        <v>2.98</v>
      </c>
      <c r="AL677" s="323">
        <v>30.21</v>
      </c>
      <c r="AM677" s="323">
        <v>0.11178937320471928</v>
      </c>
      <c r="AN677" s="323">
        <v>0.12732997432726753</v>
      </c>
      <c r="AO677" s="323">
        <v>9.9370320566116804E-2</v>
      </c>
      <c r="AP677" s="323">
        <v>5.2244435530640093E-2</v>
      </c>
      <c r="AQ677" s="323">
        <v>0.16189937320471928</v>
      </c>
      <c r="AR677" s="323">
        <v>0.17704997432726755</v>
      </c>
      <c r="AS677" s="323">
        <v>0.15283032056611681</v>
      </c>
      <c r="AT677" s="323">
        <v>0.1277354355306401</v>
      </c>
      <c r="AU677" s="190">
        <v>705076377505933.38</v>
      </c>
      <c r="AV677" s="190">
        <v>803093840433155.38</v>
      </c>
      <c r="AW677" s="190">
        <v>5013976813560177</v>
      </c>
      <c r="AX677" s="190">
        <v>2636123008316924</v>
      </c>
      <c r="AY677" s="203">
        <v>1.7</v>
      </c>
      <c r="AZ677" s="239">
        <v>30.62</v>
      </c>
      <c r="BA677" s="203">
        <v>2002</v>
      </c>
      <c r="BB677" s="204">
        <v>39296</v>
      </c>
      <c r="BC677" s="203" t="s">
        <v>3221</v>
      </c>
    </row>
    <row r="678" spans="1:55" x14ac:dyDescent="0.2">
      <c r="A678" s="184" t="s">
        <v>2549</v>
      </c>
      <c r="B678" s="184" t="s">
        <v>2548</v>
      </c>
      <c r="C678" s="184" t="s">
        <v>740</v>
      </c>
      <c r="D678" s="185" t="s">
        <v>1043</v>
      </c>
      <c r="E678" s="184" t="s">
        <v>2550</v>
      </c>
      <c r="F678" s="184" t="s">
        <v>2551</v>
      </c>
      <c r="G678" s="186">
        <f>IF(ALECA_Input!$F$13="ICAO (3000ft)",'Aircraft Calc'!C$211,'Aircraft Calc'!G$211)</f>
        <v>0.7</v>
      </c>
      <c r="H678" s="186">
        <f>IF(ALECA_Input!$F$13="ICAO (3000ft)",'Aircraft Calc'!D$211,'Aircraft Calc'!H$211)</f>
        <v>2.2000000000000002</v>
      </c>
      <c r="I678" s="186">
        <f>IF(ALECA_Input!$F$13="ICAO (3000ft)",'Aircraft Calc'!E$211,'Aircraft Calc'!I$211)</f>
        <v>4</v>
      </c>
      <c r="J678" s="189">
        <v>1</v>
      </c>
      <c r="K678" s="187">
        <f t="shared" si="181"/>
        <v>81.960000000000008</v>
      </c>
      <c r="L678" s="187">
        <f t="shared" si="182"/>
        <v>1.1764295999999999</v>
      </c>
      <c r="M678" s="187">
        <f t="shared" si="183"/>
        <v>6.2016000000000007E-3</v>
      </c>
      <c r="N678" s="187">
        <f t="shared" si="184"/>
        <v>0.19476431999999999</v>
      </c>
      <c r="O678" s="187">
        <f t="shared" si="185"/>
        <v>2.6178492834220992E-2</v>
      </c>
      <c r="P678" s="188">
        <f t="shared" si="186"/>
        <v>1.6663060517704224E+17</v>
      </c>
      <c r="Q678" s="187">
        <f t="shared" si="187"/>
        <v>2940</v>
      </c>
      <c r="R678" s="219">
        <f t="shared" si="188"/>
        <v>11.480699999999999</v>
      </c>
      <c r="S678" s="219">
        <f t="shared" si="189"/>
        <v>2.7635999999999998</v>
      </c>
      <c r="T678" s="219">
        <f t="shared" si="190"/>
        <v>86.083200000000005</v>
      </c>
      <c r="U678" s="219">
        <f t="shared" si="191"/>
        <v>0.31807483792748936</v>
      </c>
      <c r="V678" s="188">
        <f t="shared" si="192"/>
        <v>7925914069348714</v>
      </c>
      <c r="W678" s="323">
        <v>0.372</v>
      </c>
      <c r="X678" s="323">
        <v>0.308</v>
      </c>
      <c r="Y678" s="323">
        <v>0.107</v>
      </c>
      <c r="Z678" s="323">
        <v>4.9000000000000002E-2</v>
      </c>
      <c r="AA678" s="323">
        <v>18.29</v>
      </c>
      <c r="AB678" s="323">
        <v>16.39</v>
      </c>
      <c r="AC678" s="323">
        <v>8.7349999999999994</v>
      </c>
      <c r="AD678" s="323">
        <v>3.9049999999999998</v>
      </c>
      <c r="AE678" s="323">
        <v>0.06</v>
      </c>
      <c r="AF678" s="323">
        <v>0.06</v>
      </c>
      <c r="AG678" s="323">
        <v>0.11</v>
      </c>
      <c r="AH678" s="323">
        <v>0.94</v>
      </c>
      <c r="AI678" s="323">
        <v>0.54</v>
      </c>
      <c r="AJ678" s="323">
        <v>0.61</v>
      </c>
      <c r="AK678" s="323">
        <v>6.29</v>
      </c>
      <c r="AL678" s="323">
        <v>29.28</v>
      </c>
      <c r="AM678" s="323">
        <v>0.40132990472566649</v>
      </c>
      <c r="AN678" s="323">
        <v>0.36331765364206114</v>
      </c>
      <c r="AO678" s="323">
        <v>2.6176725713222028E-2</v>
      </c>
      <c r="AP678" s="323">
        <v>5.3428920383499792E-2</v>
      </c>
      <c r="AQ678" s="323">
        <v>0.45718990472566651</v>
      </c>
      <c r="AR678" s="323">
        <v>0.41683765364206116</v>
      </c>
      <c r="AS678" s="323">
        <v>8.1324225713222037E-2</v>
      </c>
      <c r="AT678" s="323">
        <v>0.10818872038349979</v>
      </c>
      <c r="AU678" s="190">
        <v>2531262384757951</v>
      </c>
      <c r="AV678" s="190">
        <v>2291512044215358</v>
      </c>
      <c r="AW678" s="190">
        <v>1320811838316370.5</v>
      </c>
      <c r="AX678" s="190">
        <v>2695889139234256.5</v>
      </c>
      <c r="AY678" s="203">
        <v>1.5</v>
      </c>
      <c r="AZ678" s="239">
        <v>32.86</v>
      </c>
      <c r="BA678" s="203">
        <v>2010</v>
      </c>
      <c r="BB678" s="204">
        <v>41043</v>
      </c>
      <c r="BC678" s="203" t="s">
        <v>716</v>
      </c>
    </row>
    <row r="679" spans="1:55" x14ac:dyDescent="0.2">
      <c r="A679" s="184" t="s">
        <v>2553</v>
      </c>
      <c r="B679" s="184" t="s">
        <v>2552</v>
      </c>
      <c r="C679" s="184" t="s">
        <v>740</v>
      </c>
      <c r="D679" s="185" t="s">
        <v>1043</v>
      </c>
      <c r="E679" s="184" t="s">
        <v>2550</v>
      </c>
      <c r="F679" s="184" t="s">
        <v>2551</v>
      </c>
      <c r="G679" s="186">
        <f>IF(ALECA_Input!$F$13="ICAO (3000ft)",'Aircraft Calc'!C$211,'Aircraft Calc'!G$211)</f>
        <v>0.7</v>
      </c>
      <c r="H679" s="186">
        <f>IF(ALECA_Input!$F$13="ICAO (3000ft)",'Aircraft Calc'!D$211,'Aircraft Calc'!H$211)</f>
        <v>2.2000000000000002</v>
      </c>
      <c r="I679" s="186">
        <f>IF(ALECA_Input!$F$13="ICAO (3000ft)",'Aircraft Calc'!E$211,'Aircraft Calc'!I$211)</f>
        <v>4</v>
      </c>
      <c r="J679" s="189">
        <v>1</v>
      </c>
      <c r="K679" s="187">
        <f t="shared" si="181"/>
        <v>81.960000000000008</v>
      </c>
      <c r="L679" s="187">
        <f t="shared" si="182"/>
        <v>1.1864277599999999</v>
      </c>
      <c r="M679" s="187">
        <f t="shared" si="183"/>
        <v>6.3021600000000002E-3</v>
      </c>
      <c r="N679" s="187">
        <f t="shared" si="184"/>
        <v>0.18917688000000002</v>
      </c>
      <c r="O679" s="187">
        <f t="shared" si="185"/>
        <v>2.6242713108610399E-2</v>
      </c>
      <c r="P679" s="188">
        <f t="shared" si="186"/>
        <v>1.700487404868343E+17</v>
      </c>
      <c r="Q679" s="187">
        <f t="shared" si="187"/>
        <v>2940</v>
      </c>
      <c r="R679" s="219">
        <f t="shared" si="188"/>
        <v>11.6571</v>
      </c>
      <c r="S679" s="219">
        <f t="shared" si="189"/>
        <v>2.9106000000000001</v>
      </c>
      <c r="T679" s="219">
        <f t="shared" si="190"/>
        <v>89.611199999999997</v>
      </c>
      <c r="U679" s="219">
        <f t="shared" si="191"/>
        <v>0.42778960583866382</v>
      </c>
      <c r="V679" s="188">
        <f t="shared" si="192"/>
        <v>1.3416081278969832E+16</v>
      </c>
      <c r="W679" s="323">
        <v>0.372</v>
      </c>
      <c r="X679" s="323">
        <v>0.308</v>
      </c>
      <c r="Y679" s="323">
        <v>0.107</v>
      </c>
      <c r="Z679" s="323">
        <v>4.9000000000000002E-2</v>
      </c>
      <c r="AA679" s="323">
        <v>18.43</v>
      </c>
      <c r="AB679" s="323">
        <v>16.440000000000001</v>
      </c>
      <c r="AC679" s="323">
        <v>8.9600000000000009</v>
      </c>
      <c r="AD679" s="323">
        <v>3.9649999999999999</v>
      </c>
      <c r="AE679" s="323">
        <v>0.05</v>
      </c>
      <c r="AF679" s="323">
        <v>0.06</v>
      </c>
      <c r="AG679" s="323">
        <v>0.12</v>
      </c>
      <c r="AH679" s="323">
        <v>0.99</v>
      </c>
      <c r="AI679" s="323">
        <v>0.56999999999999995</v>
      </c>
      <c r="AJ679" s="323">
        <v>0.6</v>
      </c>
      <c r="AK679" s="323">
        <v>6.07</v>
      </c>
      <c r="AL679" s="323">
        <v>30.48</v>
      </c>
      <c r="AM679" s="323">
        <v>0.40132990472566649</v>
      </c>
      <c r="AN679" s="323">
        <v>0.36331765364206114</v>
      </c>
      <c r="AO679" s="323">
        <v>2.8814688111563399E-2</v>
      </c>
      <c r="AP679" s="323">
        <v>9.0438368652606738E-2</v>
      </c>
      <c r="AQ679" s="323">
        <v>0.45603990472566652</v>
      </c>
      <c r="AR679" s="323">
        <v>0.41683765364206116</v>
      </c>
      <c r="AS679" s="323">
        <v>8.4524688111563412E-2</v>
      </c>
      <c r="AT679" s="323">
        <v>0.14550666865260675</v>
      </c>
      <c r="AU679" s="190">
        <v>2531262384757951</v>
      </c>
      <c r="AV679" s="190">
        <v>2291512044215358</v>
      </c>
      <c r="AW679" s="190">
        <v>1453916795862791.3</v>
      </c>
      <c r="AX679" s="190">
        <v>4563292952030555</v>
      </c>
      <c r="AY679" s="203">
        <v>1.5</v>
      </c>
      <c r="AZ679" s="239">
        <v>32.86</v>
      </c>
      <c r="BA679" s="203">
        <v>2010</v>
      </c>
      <c r="BB679" s="204">
        <v>41208</v>
      </c>
      <c r="BC679" s="203" t="s">
        <v>716</v>
      </c>
    </row>
    <row r="680" spans="1:55" x14ac:dyDescent="0.2">
      <c r="A680" s="184" t="s">
        <v>2555</v>
      </c>
      <c r="B680" s="184" t="s">
        <v>2554</v>
      </c>
      <c r="C680" s="184" t="s">
        <v>740</v>
      </c>
      <c r="D680" s="185" t="s">
        <v>1043</v>
      </c>
      <c r="E680" s="184" t="s">
        <v>2556</v>
      </c>
      <c r="F680" s="184" t="s">
        <v>2547</v>
      </c>
      <c r="G680" s="186">
        <f>IF(ALECA_Input!$F$13="ICAO (3000ft)",'Aircraft Calc'!C$211,'Aircraft Calc'!G$211)</f>
        <v>0.7</v>
      </c>
      <c r="H680" s="186">
        <f>IF(ALECA_Input!$F$13="ICAO (3000ft)",'Aircraft Calc'!D$211,'Aircraft Calc'!H$211)</f>
        <v>2.2000000000000002</v>
      </c>
      <c r="I680" s="186">
        <f>IF(ALECA_Input!$F$13="ICAO (3000ft)",'Aircraft Calc'!E$211,'Aircraft Calc'!I$211)</f>
        <v>4</v>
      </c>
      <c r="J680" s="189">
        <v>1</v>
      </c>
      <c r="K680" s="187">
        <f t="shared" si="181"/>
        <v>77.55</v>
      </c>
      <c r="L680" s="187">
        <f t="shared" si="182"/>
        <v>1.0954909200000003</v>
      </c>
      <c r="M680" s="187">
        <f t="shared" si="183"/>
        <v>6.0048599999999999E-3</v>
      </c>
      <c r="N680" s="187">
        <f t="shared" si="184"/>
        <v>0.18886032</v>
      </c>
      <c r="O680" s="187">
        <f t="shared" si="185"/>
        <v>2.4536718486130482E-2</v>
      </c>
      <c r="P680" s="188">
        <f t="shared" si="186"/>
        <v>1.5697220335273005E+17</v>
      </c>
      <c r="Q680" s="187">
        <f t="shared" si="187"/>
        <v>2880</v>
      </c>
      <c r="R680" s="219">
        <f t="shared" si="188"/>
        <v>11.2608</v>
      </c>
      <c r="S680" s="219">
        <f t="shared" si="189"/>
        <v>3.6288</v>
      </c>
      <c r="T680" s="219">
        <f t="shared" si="190"/>
        <v>95.731200000000001</v>
      </c>
      <c r="U680" s="219">
        <f t="shared" si="191"/>
        <v>0.40272323702298879</v>
      </c>
      <c r="V680" s="188">
        <f t="shared" si="192"/>
        <v>1.20759272131903E+16</v>
      </c>
      <c r="W680" s="323">
        <v>0.34699999999999998</v>
      </c>
      <c r="X680" s="323">
        <v>0.28799999999999998</v>
      </c>
      <c r="Y680" s="323">
        <v>0.104</v>
      </c>
      <c r="Z680" s="323">
        <v>4.8000000000000001E-2</v>
      </c>
      <c r="AA680" s="323">
        <v>17.899999999999999</v>
      </c>
      <c r="AB680" s="323">
        <v>16.170000000000002</v>
      </c>
      <c r="AC680" s="323">
        <v>8.81</v>
      </c>
      <c r="AD680" s="323">
        <v>3.91</v>
      </c>
      <c r="AE680" s="323">
        <v>0.05</v>
      </c>
      <c r="AF680" s="323">
        <v>0.06</v>
      </c>
      <c r="AG680" s="323">
        <v>0.12</v>
      </c>
      <c r="AH680" s="323">
        <v>1.26</v>
      </c>
      <c r="AI680" s="323">
        <v>0.56000000000000005</v>
      </c>
      <c r="AJ680" s="323">
        <v>0.63</v>
      </c>
      <c r="AK680" s="323">
        <v>6.28</v>
      </c>
      <c r="AL680" s="323">
        <v>33.24</v>
      </c>
      <c r="AM680" s="323">
        <v>0.40132990472566649</v>
      </c>
      <c r="AN680" s="323">
        <v>0.36331765364206114</v>
      </c>
      <c r="AO680" s="323">
        <v>2.6176725713222028E-2</v>
      </c>
      <c r="AP680" s="323">
        <v>8.3100257299648858E-2</v>
      </c>
      <c r="AQ680" s="323">
        <v>0.45603990472566652</v>
      </c>
      <c r="AR680" s="323">
        <v>0.41683765364206116</v>
      </c>
      <c r="AS680" s="323">
        <v>8.1886725713222031E-2</v>
      </c>
      <c r="AT680" s="323">
        <v>0.13983445729964888</v>
      </c>
      <c r="AU680" s="190">
        <v>2531262384757951</v>
      </c>
      <c r="AV680" s="190">
        <v>2291512044215358</v>
      </c>
      <c r="AW680" s="190">
        <v>1320811838316370.5</v>
      </c>
      <c r="AX680" s="190">
        <v>4193030282357743.5</v>
      </c>
      <c r="AY680" s="203">
        <v>1.4</v>
      </c>
      <c r="AZ680" s="239">
        <v>30.62</v>
      </c>
      <c r="BA680" s="203">
        <v>2010</v>
      </c>
      <c r="BB680" s="204">
        <v>41208</v>
      </c>
      <c r="BC680" s="203" t="s">
        <v>716</v>
      </c>
    </row>
    <row r="681" spans="1:55" x14ac:dyDescent="0.2">
      <c r="A681" s="184" t="s">
        <v>2558</v>
      </c>
      <c r="B681" s="184" t="s">
        <v>2557</v>
      </c>
      <c r="C681" s="184" t="s">
        <v>740</v>
      </c>
      <c r="D681" s="185" t="s">
        <v>1043</v>
      </c>
      <c r="E681" s="184" t="s">
        <v>2559</v>
      </c>
      <c r="F681" s="184" t="s">
        <v>2560</v>
      </c>
      <c r="G681" s="186">
        <f>IF(ALECA_Input!$F$13="ICAO (3000ft)",'Aircraft Calc'!C$211,'Aircraft Calc'!G$211)</f>
        <v>0.7</v>
      </c>
      <c r="H681" s="186">
        <f>IF(ALECA_Input!$F$13="ICAO (3000ft)",'Aircraft Calc'!D$211,'Aircraft Calc'!H$211)</f>
        <v>2.2000000000000002</v>
      </c>
      <c r="I681" s="186">
        <f>IF(ALECA_Input!$F$13="ICAO (3000ft)",'Aircraft Calc'!E$211,'Aircraft Calc'!I$211)</f>
        <v>4</v>
      </c>
      <c r="J681" s="189">
        <v>1</v>
      </c>
      <c r="K681" s="187">
        <f t="shared" si="181"/>
        <v>71.963999999999999</v>
      </c>
      <c r="L681" s="187">
        <f t="shared" si="182"/>
        <v>0.97612835999999992</v>
      </c>
      <c r="M681" s="187">
        <f t="shared" si="183"/>
        <v>6.0670800000000007E-3</v>
      </c>
      <c r="N681" s="187">
        <f t="shared" si="184"/>
        <v>0.19225692000000003</v>
      </c>
      <c r="O681" s="187">
        <f t="shared" si="185"/>
        <v>2.1148628574256593E-2</v>
      </c>
      <c r="P681" s="188">
        <f t="shared" si="186"/>
        <v>1.3531220202817691E+17</v>
      </c>
      <c r="Q681" s="187">
        <f t="shared" si="187"/>
        <v>2880</v>
      </c>
      <c r="R681" s="219">
        <f t="shared" si="188"/>
        <v>11.0304</v>
      </c>
      <c r="S681" s="219">
        <f t="shared" si="189"/>
        <v>3.7728000000000002</v>
      </c>
      <c r="T681" s="219">
        <f t="shared" si="190"/>
        <v>99.763199999999998</v>
      </c>
      <c r="U681" s="219">
        <f t="shared" si="191"/>
        <v>0.41189161700582705</v>
      </c>
      <c r="V681" s="188">
        <f t="shared" si="192"/>
        <v>1.2493710171884958E+16</v>
      </c>
      <c r="W681" s="323">
        <v>0.32</v>
      </c>
      <c r="X681" s="323">
        <v>0.26700000000000002</v>
      </c>
      <c r="Y681" s="323">
        <v>9.7000000000000003E-2</v>
      </c>
      <c r="Z681" s="323">
        <v>4.8000000000000001E-2</v>
      </c>
      <c r="AA681" s="323">
        <v>17.11</v>
      </c>
      <c r="AB681" s="323">
        <v>15.59</v>
      </c>
      <c r="AC681" s="323">
        <v>8.4499999999999993</v>
      </c>
      <c r="AD681" s="323">
        <v>3.83</v>
      </c>
      <c r="AE681" s="323">
        <v>0.06</v>
      </c>
      <c r="AF681" s="323">
        <v>7.0000000000000007E-2</v>
      </c>
      <c r="AG681" s="323">
        <v>0.12</v>
      </c>
      <c r="AH681" s="323">
        <v>1.31</v>
      </c>
      <c r="AI681" s="323">
        <v>0.56000000000000005</v>
      </c>
      <c r="AJ681" s="323">
        <v>0.73</v>
      </c>
      <c r="AK681" s="323">
        <v>6.83</v>
      </c>
      <c r="AL681" s="323">
        <v>34.64</v>
      </c>
      <c r="AM681" s="323">
        <v>0.40132990472566649</v>
      </c>
      <c r="AN681" s="323">
        <v>0.31734845534388328</v>
      </c>
      <c r="AO681" s="323">
        <v>2.6176725713222028E-2</v>
      </c>
      <c r="AP681" s="323">
        <v>8.5975222571467724E-2</v>
      </c>
      <c r="AQ681" s="323">
        <v>0.45718990472566651</v>
      </c>
      <c r="AR681" s="323">
        <v>0.37162845534388333</v>
      </c>
      <c r="AS681" s="323">
        <v>8.1886725713222031E-2</v>
      </c>
      <c r="AT681" s="323">
        <v>0.14301792257146773</v>
      </c>
      <c r="AU681" s="190">
        <v>2531262384757951</v>
      </c>
      <c r="AV681" s="190">
        <v>2001575757037366.8</v>
      </c>
      <c r="AW681" s="190">
        <v>1320811838316370.5</v>
      </c>
      <c r="AX681" s="190">
        <v>4338093809682277</v>
      </c>
      <c r="AY681" s="203">
        <v>1.3</v>
      </c>
      <c r="AZ681" s="239">
        <v>29.4</v>
      </c>
      <c r="BA681" s="203">
        <v>2010</v>
      </c>
      <c r="BB681" s="204">
        <v>42087</v>
      </c>
      <c r="BC681" s="203" t="s">
        <v>716</v>
      </c>
    </row>
    <row r="682" spans="1:55" x14ac:dyDescent="0.2">
      <c r="A682" s="184" t="s">
        <v>2562</v>
      </c>
      <c r="B682" s="184" t="s">
        <v>2561</v>
      </c>
      <c r="C682" s="184" t="s">
        <v>740</v>
      </c>
      <c r="D682" s="185" t="s">
        <v>1043</v>
      </c>
      <c r="E682" s="184" t="s">
        <v>2563</v>
      </c>
      <c r="F682" s="184" t="s">
        <v>2564</v>
      </c>
      <c r="G682" s="186">
        <f>IF(ALECA_Input!$F$13="ICAO (3000ft)",'Aircraft Calc'!C$211,'Aircraft Calc'!G$211)</f>
        <v>0.7</v>
      </c>
      <c r="H682" s="186">
        <f>IF(ALECA_Input!$F$13="ICAO (3000ft)",'Aircraft Calc'!D$211,'Aircraft Calc'!H$211)</f>
        <v>2.2000000000000002</v>
      </c>
      <c r="I682" s="186">
        <f>IF(ALECA_Input!$F$13="ICAO (3000ft)",'Aircraft Calc'!E$211,'Aircraft Calc'!I$211)</f>
        <v>4</v>
      </c>
      <c r="J682" s="189">
        <v>1</v>
      </c>
      <c r="K682" s="187">
        <f t="shared" si="181"/>
        <v>77.286000000000001</v>
      </c>
      <c r="L682" s="187">
        <f t="shared" si="182"/>
        <v>1.0991543400000001</v>
      </c>
      <c r="M682" s="187">
        <f t="shared" si="183"/>
        <v>5.9593799999999994E-3</v>
      </c>
      <c r="N682" s="187">
        <f t="shared" si="184"/>
        <v>0.18485033999999995</v>
      </c>
      <c r="O682" s="187">
        <f t="shared" si="185"/>
        <v>2.4628830087879302E-2</v>
      </c>
      <c r="P682" s="188">
        <f t="shared" si="186"/>
        <v>1.5877510919892314E+17</v>
      </c>
      <c r="Q682" s="187">
        <f t="shared" si="187"/>
        <v>2940</v>
      </c>
      <c r="R682" s="219">
        <f t="shared" si="188"/>
        <v>11.583599999999999</v>
      </c>
      <c r="S682" s="219">
        <f t="shared" si="189"/>
        <v>3.2634000000000003</v>
      </c>
      <c r="T682" s="219">
        <f t="shared" si="190"/>
        <v>91.228200000000001</v>
      </c>
      <c r="U682" s="219">
        <f t="shared" si="191"/>
        <v>0.42333862898464036</v>
      </c>
      <c r="V682" s="188">
        <f t="shared" si="192"/>
        <v>1.3081661515133304E+16</v>
      </c>
      <c r="W682" s="323">
        <v>0.34899999999999998</v>
      </c>
      <c r="X682" s="323">
        <v>0.28899999999999998</v>
      </c>
      <c r="Y682" s="323">
        <v>0.10199999999999999</v>
      </c>
      <c r="Z682" s="323">
        <v>4.9000000000000002E-2</v>
      </c>
      <c r="AA682" s="323">
        <v>18.010000000000002</v>
      </c>
      <c r="AB682" s="323">
        <v>16.22</v>
      </c>
      <c r="AC682" s="323">
        <v>8.84</v>
      </c>
      <c r="AD682" s="323">
        <v>3.94</v>
      </c>
      <c r="AE682" s="323">
        <v>0.05</v>
      </c>
      <c r="AF682" s="323">
        <v>0.06</v>
      </c>
      <c r="AG682" s="323">
        <v>0.12</v>
      </c>
      <c r="AH682" s="323">
        <v>1.1100000000000001</v>
      </c>
      <c r="AI682" s="323">
        <v>0.55000000000000004</v>
      </c>
      <c r="AJ682" s="323">
        <v>0.63</v>
      </c>
      <c r="AK682" s="323">
        <v>6.24</v>
      </c>
      <c r="AL682" s="323">
        <v>31.03</v>
      </c>
      <c r="AM682" s="323">
        <v>0.40132990472566649</v>
      </c>
      <c r="AN682" s="323">
        <v>0.36331765364206114</v>
      </c>
      <c r="AO682" s="323">
        <v>2.7732579790569103E-2</v>
      </c>
      <c r="AP682" s="323">
        <v>8.8184030947156586E-2</v>
      </c>
      <c r="AQ682" s="323">
        <v>0.45603990472566652</v>
      </c>
      <c r="AR682" s="323">
        <v>0.41683765364206116</v>
      </c>
      <c r="AS682" s="323">
        <v>8.3442579790569099E-2</v>
      </c>
      <c r="AT682" s="323">
        <v>0.14399273094715659</v>
      </c>
      <c r="AU682" s="190">
        <v>2531262384757951</v>
      </c>
      <c r="AV682" s="190">
        <v>2291512044215358</v>
      </c>
      <c r="AW682" s="190">
        <v>1399316327631274.3</v>
      </c>
      <c r="AX682" s="190">
        <v>4449544733038539</v>
      </c>
      <c r="AY682" s="203">
        <v>1.4</v>
      </c>
      <c r="AZ682" s="239">
        <v>31.6</v>
      </c>
      <c r="BA682" s="203">
        <v>2010</v>
      </c>
      <c r="BB682" s="204">
        <v>42087</v>
      </c>
      <c r="BC682" s="203" t="s">
        <v>716</v>
      </c>
    </row>
    <row r="683" spans="1:55" x14ac:dyDescent="0.2">
      <c r="A683" s="184" t="s">
        <v>2566</v>
      </c>
      <c r="B683" s="184" t="s">
        <v>2565</v>
      </c>
      <c r="C683" s="184" t="s">
        <v>740</v>
      </c>
      <c r="D683" s="185" t="s">
        <v>1043</v>
      </c>
      <c r="E683" s="184" t="s">
        <v>2567</v>
      </c>
      <c r="F683" s="184" t="s">
        <v>2568</v>
      </c>
      <c r="G683" s="186">
        <f>IF(ALECA_Input!$F$13="ICAO (3000ft)",'Aircraft Calc'!C$211,'Aircraft Calc'!G$211)</f>
        <v>0.7</v>
      </c>
      <c r="H683" s="186">
        <f>IF(ALECA_Input!$F$13="ICAO (3000ft)",'Aircraft Calc'!D$211,'Aircraft Calc'!H$211)</f>
        <v>2.2000000000000002</v>
      </c>
      <c r="I683" s="186">
        <f>IF(ALECA_Input!$F$13="ICAO (3000ft)",'Aircraft Calc'!E$211,'Aircraft Calc'!I$211)</f>
        <v>4</v>
      </c>
      <c r="J683" s="189">
        <v>1</v>
      </c>
      <c r="K683" s="187">
        <f t="shared" si="181"/>
        <v>82.97999999999999</v>
      </c>
      <c r="L683" s="187">
        <f t="shared" si="182"/>
        <v>1.2370240799999999</v>
      </c>
      <c r="M683" s="187">
        <f t="shared" si="183"/>
        <v>6.3752399999999999E-3</v>
      </c>
      <c r="N683" s="187">
        <f t="shared" si="184"/>
        <v>0.18010944000000001</v>
      </c>
      <c r="O683" s="187">
        <f t="shared" si="185"/>
        <v>2.659801137087105E-2</v>
      </c>
      <c r="P683" s="188">
        <f t="shared" si="186"/>
        <v>1.7224547699814608E+17</v>
      </c>
      <c r="Q683" s="187">
        <f t="shared" si="187"/>
        <v>3000</v>
      </c>
      <c r="R683" s="219">
        <f t="shared" si="188"/>
        <v>12.120000000000001</v>
      </c>
      <c r="S683" s="219">
        <f t="shared" si="189"/>
        <v>2.52</v>
      </c>
      <c r="T683" s="219">
        <f t="shared" si="190"/>
        <v>87.24</v>
      </c>
      <c r="U683" s="219">
        <f t="shared" si="191"/>
        <v>0.39119848610959351</v>
      </c>
      <c r="V683" s="188">
        <f t="shared" si="192"/>
        <v>1.1543164003647044E+16</v>
      </c>
      <c r="W683" s="323">
        <v>0.378</v>
      </c>
      <c r="X683" s="323">
        <v>0.312</v>
      </c>
      <c r="Y683" s="323">
        <v>0.108</v>
      </c>
      <c r="Z683" s="323">
        <v>0.05</v>
      </c>
      <c r="AA683" s="323">
        <v>19.059999999999999</v>
      </c>
      <c r="AB683" s="323">
        <v>16.88</v>
      </c>
      <c r="AC683" s="323">
        <v>9.23</v>
      </c>
      <c r="AD683" s="323">
        <v>4.04</v>
      </c>
      <c r="AE683" s="323">
        <v>0.05</v>
      </c>
      <c r="AF683" s="323">
        <v>0.06</v>
      </c>
      <c r="AG683" s="323">
        <v>0.12</v>
      </c>
      <c r="AH683" s="323">
        <v>0.84</v>
      </c>
      <c r="AI683" s="323">
        <v>0.56000000000000005</v>
      </c>
      <c r="AJ683" s="323">
        <v>0.56999999999999995</v>
      </c>
      <c r="AK683" s="323">
        <v>5.7</v>
      </c>
      <c r="AL683" s="323">
        <v>29.08</v>
      </c>
      <c r="AM683" s="323">
        <v>0.40132990472566649</v>
      </c>
      <c r="AN683" s="323">
        <v>0.36331765364206114</v>
      </c>
      <c r="AO683" s="323">
        <v>2.8814688111563399E-2</v>
      </c>
      <c r="AP683" s="323">
        <v>7.6256695369864513E-2</v>
      </c>
      <c r="AQ683" s="323">
        <v>0.45603990472566652</v>
      </c>
      <c r="AR683" s="323">
        <v>0.41683765364206116</v>
      </c>
      <c r="AS683" s="323">
        <v>8.4524688111563412E-2</v>
      </c>
      <c r="AT683" s="323">
        <v>0.1303994953698645</v>
      </c>
      <c r="AU683" s="190">
        <v>2531262384757951</v>
      </c>
      <c r="AV683" s="190">
        <v>2291512044215358</v>
      </c>
      <c r="AW683" s="190">
        <v>1453916795862791.3</v>
      </c>
      <c r="AX683" s="190">
        <v>3847721334549015</v>
      </c>
      <c r="AY683" s="203">
        <v>1.6</v>
      </c>
      <c r="AZ683" s="239">
        <v>33.799999999999997</v>
      </c>
      <c r="BA683" s="203">
        <v>2010</v>
      </c>
      <c r="BB683" s="204">
        <v>42087</v>
      </c>
      <c r="BC683" s="203" t="s">
        <v>716</v>
      </c>
    </row>
    <row r="684" spans="1:55" x14ac:dyDescent="0.2">
      <c r="A684" s="184" t="s">
        <v>2570</v>
      </c>
      <c r="B684" s="184" t="s">
        <v>2569</v>
      </c>
      <c r="C684" s="184" t="s">
        <v>740</v>
      </c>
      <c r="D684" s="185" t="s">
        <v>1043</v>
      </c>
      <c r="E684" s="184" t="s">
        <v>2571</v>
      </c>
      <c r="F684" s="184" t="s">
        <v>2572</v>
      </c>
      <c r="G684" s="186">
        <f>IF(ALECA_Input!$F$13="ICAO (3000ft)",'Aircraft Calc'!C$211,'Aircraft Calc'!G$211)</f>
        <v>0.7</v>
      </c>
      <c r="H684" s="186">
        <f>IF(ALECA_Input!$F$13="ICAO (3000ft)",'Aircraft Calc'!D$211,'Aircraft Calc'!H$211)</f>
        <v>2.2000000000000002</v>
      </c>
      <c r="I684" s="186">
        <f>IF(ALECA_Input!$F$13="ICAO (3000ft)",'Aircraft Calc'!E$211,'Aircraft Calc'!I$211)</f>
        <v>4</v>
      </c>
      <c r="J684" s="189">
        <v>1</v>
      </c>
      <c r="K684" s="187">
        <f t="shared" si="181"/>
        <v>82.134000000000015</v>
      </c>
      <c r="L684" s="187">
        <f t="shared" si="182"/>
        <v>1.2049668600000001</v>
      </c>
      <c r="M684" s="187">
        <f t="shared" si="183"/>
        <v>6.3121799999999997E-3</v>
      </c>
      <c r="N684" s="187">
        <f t="shared" si="184"/>
        <v>0.18671760000000001</v>
      </c>
      <c r="O684" s="187">
        <f t="shared" si="185"/>
        <v>2.6316889354889628E-2</v>
      </c>
      <c r="P684" s="188">
        <f t="shared" si="186"/>
        <v>1.7045753309683059E+17</v>
      </c>
      <c r="Q684" s="187">
        <f t="shared" si="187"/>
        <v>2880</v>
      </c>
      <c r="R684" s="219">
        <f t="shared" si="188"/>
        <v>11.462399999999999</v>
      </c>
      <c r="S684" s="219">
        <f t="shared" si="189"/>
        <v>2.88</v>
      </c>
      <c r="T684" s="219">
        <f t="shared" si="190"/>
        <v>88.99199999999999</v>
      </c>
      <c r="U684" s="219">
        <f t="shared" si="191"/>
        <v>0.37839368266520984</v>
      </c>
      <c r="V684" s="188">
        <f t="shared" si="192"/>
        <v>1.1081437443501162E+16</v>
      </c>
      <c r="W684" s="323">
        <v>0.373</v>
      </c>
      <c r="X684" s="323">
        <v>0.309</v>
      </c>
      <c r="Y684" s="323">
        <v>0.107</v>
      </c>
      <c r="Z684" s="323">
        <v>4.8000000000000001E-2</v>
      </c>
      <c r="AA684" s="323">
        <v>18.79</v>
      </c>
      <c r="AB684" s="323">
        <v>16.64</v>
      </c>
      <c r="AC684" s="323">
        <v>9.0299999999999994</v>
      </c>
      <c r="AD684" s="323">
        <v>3.98</v>
      </c>
      <c r="AE684" s="323">
        <v>0.05</v>
      </c>
      <c r="AF684" s="323">
        <v>0.06</v>
      </c>
      <c r="AG684" s="323">
        <v>0.12</v>
      </c>
      <c r="AH684" s="323">
        <v>1</v>
      </c>
      <c r="AI684" s="323">
        <v>0.57999999999999996</v>
      </c>
      <c r="AJ684" s="323">
        <v>0.59</v>
      </c>
      <c r="AK684" s="323">
        <v>5.98</v>
      </c>
      <c r="AL684" s="323">
        <v>30.9</v>
      </c>
      <c r="AM684" s="323">
        <v>0.40132990472566649</v>
      </c>
      <c r="AN684" s="323">
        <v>0.36331765364206114</v>
      </c>
      <c r="AO684" s="323">
        <v>2.8814688111563399E-2</v>
      </c>
      <c r="AP684" s="323">
        <v>7.6256695369864513E-2</v>
      </c>
      <c r="AQ684" s="323">
        <v>0.45603990472566652</v>
      </c>
      <c r="AR684" s="323">
        <v>0.41683765364206116</v>
      </c>
      <c r="AS684" s="323">
        <v>8.4524688111563412E-2</v>
      </c>
      <c r="AT684" s="323">
        <v>0.13138669536986453</v>
      </c>
      <c r="AU684" s="190">
        <v>2531262384757951</v>
      </c>
      <c r="AV684" s="190">
        <v>2291512044215358</v>
      </c>
      <c r="AW684" s="190">
        <v>1453916795862791.3</v>
      </c>
      <c r="AX684" s="190">
        <v>3847721334549015</v>
      </c>
      <c r="AY684" s="203">
        <v>1.5</v>
      </c>
      <c r="AZ684" s="239">
        <v>33</v>
      </c>
      <c r="BA684" s="203">
        <v>2010</v>
      </c>
      <c r="BB684" s="204">
        <v>42087</v>
      </c>
      <c r="BC684" s="203" t="s">
        <v>716</v>
      </c>
    </row>
    <row r="685" spans="1:55" s="231" customFormat="1" x14ac:dyDescent="0.2">
      <c r="A685" s="231" t="s">
        <v>2574</v>
      </c>
      <c r="B685" s="231" t="s">
        <v>2573</v>
      </c>
      <c r="C685" s="231" t="s">
        <v>740</v>
      </c>
      <c r="D685" s="232" t="s">
        <v>1043</v>
      </c>
      <c r="E685" s="231" t="s">
        <v>2575</v>
      </c>
      <c r="F685" s="231" t="s">
        <v>2576</v>
      </c>
      <c r="G685" s="186">
        <f>IF(ALECA_Input!$F$13="ICAO (3000ft)",'Aircraft Calc'!C$211,'Aircraft Calc'!G$211)</f>
        <v>0.7</v>
      </c>
      <c r="H685" s="186">
        <f>IF(ALECA_Input!$F$13="ICAO (3000ft)",'Aircraft Calc'!D$211,'Aircraft Calc'!H$211)</f>
        <v>2.2000000000000002</v>
      </c>
      <c r="I685" s="186">
        <f>IF(ALECA_Input!$F$13="ICAO (3000ft)",'Aircraft Calc'!E$211,'Aircraft Calc'!I$211)</f>
        <v>4</v>
      </c>
      <c r="J685" s="189">
        <v>1</v>
      </c>
      <c r="K685" s="219">
        <f t="shared" si="181"/>
        <v>84.48</v>
      </c>
      <c r="L685" s="219">
        <f t="shared" si="182"/>
        <v>1.26959808</v>
      </c>
      <c r="M685" s="219">
        <f t="shared" si="183"/>
        <v>6.2146800000000002E-3</v>
      </c>
      <c r="N685" s="219">
        <f t="shared" si="184"/>
        <v>0.18378503999999998</v>
      </c>
      <c r="O685" s="219">
        <f t="shared" si="185"/>
        <v>9.1549040490177015E-3</v>
      </c>
      <c r="P685" s="233">
        <f t="shared" si="186"/>
        <v>3.6494154366225728E+16</v>
      </c>
      <c r="Q685" s="219">
        <f t="shared" si="187"/>
        <v>2880</v>
      </c>
      <c r="R685" s="219">
        <f t="shared" si="188"/>
        <v>11.548799999999998</v>
      </c>
      <c r="S685" s="219">
        <f t="shared" si="189"/>
        <v>2.7359999999999998</v>
      </c>
      <c r="T685" s="219">
        <f t="shared" si="190"/>
        <v>85.305599999999998</v>
      </c>
      <c r="U685" s="219">
        <f t="shared" si="191"/>
        <v>0.20709348275713232</v>
      </c>
      <c r="V685" s="233">
        <f t="shared" si="192"/>
        <v>2482890035077507</v>
      </c>
      <c r="W685" s="324">
        <v>0.38600000000000001</v>
      </c>
      <c r="X685" s="324">
        <v>0.31900000000000001</v>
      </c>
      <c r="Y685" s="324">
        <v>0.109</v>
      </c>
      <c r="Z685" s="324">
        <v>4.8000000000000001E-2</v>
      </c>
      <c r="AA685" s="324">
        <v>19.399999999999999</v>
      </c>
      <c r="AB685" s="324">
        <v>16.96</v>
      </c>
      <c r="AC685" s="324">
        <v>9.2100000000000009</v>
      </c>
      <c r="AD685" s="324">
        <v>4.01</v>
      </c>
      <c r="AE685" s="324">
        <v>0.05</v>
      </c>
      <c r="AF685" s="324">
        <v>0.06</v>
      </c>
      <c r="AG685" s="324">
        <v>0.11</v>
      </c>
      <c r="AH685" s="324">
        <v>0.95</v>
      </c>
      <c r="AI685" s="324">
        <v>0.6</v>
      </c>
      <c r="AJ685" s="324">
        <v>0.57999999999999996</v>
      </c>
      <c r="AK685" s="324">
        <v>5.72</v>
      </c>
      <c r="AL685" s="324">
        <v>29.62</v>
      </c>
      <c r="AM685" s="324">
        <v>7.8542263601213386E-2</v>
      </c>
      <c r="AN685" s="324">
        <v>7.4210265144850296E-2</v>
      </c>
      <c r="AO685" s="324">
        <v>6.6320239600716115E-3</v>
      </c>
      <c r="AP685" s="324">
        <v>1.7085959290670954E-2</v>
      </c>
      <c r="AQ685" s="324">
        <v>0.13325226360121339</v>
      </c>
      <c r="AR685" s="324">
        <v>0.12773026514485031</v>
      </c>
      <c r="AS685" s="324">
        <v>6.1779523960071622E-2</v>
      </c>
      <c r="AT685" s="324">
        <v>7.1907459290670953E-2</v>
      </c>
      <c r="AU685" s="319">
        <v>495380670930551.5</v>
      </c>
      <c r="AV685" s="319">
        <v>468057950609181.69</v>
      </c>
      <c r="AW685" s="319">
        <v>334635273121108.56</v>
      </c>
      <c r="AX685" s="319">
        <v>862114595513023.38</v>
      </c>
      <c r="AY685" s="234">
        <v>1.6</v>
      </c>
      <c r="AZ685" s="240">
        <v>34</v>
      </c>
      <c r="BA685" s="234">
        <v>2010</v>
      </c>
      <c r="BB685" s="235">
        <v>43062</v>
      </c>
      <c r="BC685" s="234" t="s">
        <v>716</v>
      </c>
    </row>
    <row r="686" spans="1:55" s="231" customFormat="1" x14ac:dyDescent="0.2">
      <c r="A686" s="231" t="s">
        <v>3668</v>
      </c>
      <c r="B686" s="231" t="s">
        <v>3677</v>
      </c>
      <c r="C686" s="231" t="s">
        <v>1052</v>
      </c>
      <c r="D686" s="232" t="s">
        <v>1043</v>
      </c>
      <c r="E686" s="231" t="s">
        <v>3681</v>
      </c>
      <c r="F686" s="231" t="s">
        <v>3685</v>
      </c>
      <c r="G686" s="186">
        <f>IF(ALECA_Input!$F$13="ICAO (3000ft)",'Aircraft Calc'!C$211,'Aircraft Calc'!G$211)</f>
        <v>0.7</v>
      </c>
      <c r="H686" s="186">
        <f>IF(ALECA_Input!$F$13="ICAO (3000ft)",'Aircraft Calc'!D$211,'Aircraft Calc'!H$211)</f>
        <v>2.2000000000000002</v>
      </c>
      <c r="I686" s="186">
        <f>IF(ALECA_Input!$F$13="ICAO (3000ft)",'Aircraft Calc'!E$211,'Aircraft Calc'!I$211)</f>
        <v>4</v>
      </c>
      <c r="J686" s="189">
        <v>1</v>
      </c>
      <c r="K686" s="219">
        <f t="shared" ref="K686:K690" si="193">(G686*W686*60+H686*X686*60+I686*Y686*60)</f>
        <v>165.16200000000001</v>
      </c>
      <c r="L686" s="219">
        <f t="shared" ref="L686:L690" si="194">(G686*W686*60*AA686+H686*X686*60*AB686+I686*Y686*60*AC686)/1000</f>
        <v>1.7370682200000001</v>
      </c>
      <c r="M686" s="219">
        <f t="shared" ref="M686:M690" si="195">(G686*W686*60*AE686+H686*X686*60*AF686+I686*Y686*60*AG686)/1000</f>
        <v>4.8800400000000013E-3</v>
      </c>
      <c r="N686" s="219">
        <f t="shared" ref="N686:N690" si="196">(G686*W686*60*AI686+H686*X686*60*AJ686+I686*Y686*60*AK686)/1000</f>
        <v>0.22638432</v>
      </c>
      <c r="O686" s="219">
        <f t="shared" ref="O686:O690" si="197">(G686*W686*60*AQ686+H686*X686*60*AR686+I686*Y686*60*AS686)/1000</f>
        <v>9.3630887820508168E-3</v>
      </c>
      <c r="P686" s="233">
        <f t="shared" ref="P686:P690" si="198">(G686*W686*60*AU686+H686*X686*60*AV686+I686*Y686*60*AW686)</f>
        <v>3.0004715418214376E+16</v>
      </c>
      <c r="Q686" s="219">
        <f t="shared" ref="Q686:Q690" si="199">J686*Z686*60*1000</f>
        <v>5220</v>
      </c>
      <c r="R686" s="219">
        <f t="shared" ref="R686:R690" si="200">J686*Z686*60*AD686</f>
        <v>23.228999999999999</v>
      </c>
      <c r="S686" s="219">
        <f t="shared" ref="S686:S690" si="201">J686*Z686*60*AH686</f>
        <v>1.9313999999999998</v>
      </c>
      <c r="T686" s="219">
        <f t="shared" ref="T686:T690" si="202">J686*Z686*60*AL686</f>
        <v>124.18379999999999</v>
      </c>
      <c r="U686" s="219">
        <f t="shared" ref="U686:U690" si="203">J686*Z686*60*AT686</f>
        <v>0.32816649092903172</v>
      </c>
      <c r="V686" s="233">
        <f t="shared" ref="V686:V690" si="204">J686*Z686*60*AX686</f>
        <v>3438618136435138</v>
      </c>
      <c r="W686" s="324">
        <v>0.745</v>
      </c>
      <c r="X686" s="324">
        <v>0.61599999999999999</v>
      </c>
      <c r="Y686" s="324">
        <v>0.219</v>
      </c>
      <c r="Z686" s="324">
        <v>8.6999999999999994E-2</v>
      </c>
      <c r="AA686" s="324">
        <v>17.59</v>
      </c>
      <c r="AB686" s="324">
        <v>9.41</v>
      </c>
      <c r="AC686" s="324">
        <v>8.02</v>
      </c>
      <c r="AD686" s="324">
        <v>4.45</v>
      </c>
      <c r="AE686" s="324">
        <v>0.02</v>
      </c>
      <c r="AF686" s="324">
        <v>0.02</v>
      </c>
      <c r="AG686" s="324">
        <v>0.05</v>
      </c>
      <c r="AH686" s="324">
        <v>0.37</v>
      </c>
      <c r="AI686" s="324">
        <v>0.24</v>
      </c>
      <c r="AJ686" s="324">
        <v>0.41</v>
      </c>
      <c r="AK686" s="324">
        <v>3.53</v>
      </c>
      <c r="AL686" s="324">
        <v>23.79</v>
      </c>
      <c r="AM686" s="324">
        <v>3.7852913897496879E-3</v>
      </c>
      <c r="AN686" s="324">
        <v>4.3078044497252962E-3</v>
      </c>
      <c r="AO686" s="324">
        <v>8.8404311082474485E-3</v>
      </c>
      <c r="AP686" s="324">
        <v>1.1624243856136335E-2</v>
      </c>
      <c r="AQ686" s="324">
        <v>5.5045291389749687E-2</v>
      </c>
      <c r="AR686" s="324">
        <v>5.4787804449725294E-2</v>
      </c>
      <c r="AS686" s="324">
        <v>6.0612931108247448E-2</v>
      </c>
      <c r="AT686" s="324">
        <v>6.2867143856136343E-2</v>
      </c>
      <c r="AU686" s="319">
        <v>24899261599612.555</v>
      </c>
      <c r="AV686" s="319">
        <v>35591304980612.008</v>
      </c>
      <c r="AW686" s="319">
        <v>500982064919691.31</v>
      </c>
      <c r="AX686" s="319">
        <v>658739106596769.75</v>
      </c>
      <c r="AY686" s="234">
        <v>2.2999999999999998</v>
      </c>
      <c r="AZ686" s="240">
        <v>106.8</v>
      </c>
      <c r="BA686" s="234">
        <v>2016</v>
      </c>
      <c r="BB686" s="235">
        <v>43696</v>
      </c>
      <c r="BC686" s="234"/>
    </row>
    <row r="687" spans="1:55" s="231" customFormat="1" x14ac:dyDescent="0.2">
      <c r="A687" s="231" t="s">
        <v>3669</v>
      </c>
      <c r="B687" s="231" t="s">
        <v>2577</v>
      </c>
      <c r="C687" s="231" t="s">
        <v>1052</v>
      </c>
      <c r="D687" s="232" t="s">
        <v>1043</v>
      </c>
      <c r="E687" s="231" t="s">
        <v>408</v>
      </c>
      <c r="F687" s="231" t="s">
        <v>3686</v>
      </c>
      <c r="G687" s="186">
        <f>IF(ALECA_Input!$F$13="ICAO (3000ft)",'Aircraft Calc'!C$211,'Aircraft Calc'!G$211)</f>
        <v>0.7</v>
      </c>
      <c r="H687" s="186">
        <f>IF(ALECA_Input!$F$13="ICAO (3000ft)",'Aircraft Calc'!D$211,'Aircraft Calc'!H$211)</f>
        <v>2.2000000000000002</v>
      </c>
      <c r="I687" s="186">
        <f>IF(ALECA_Input!$F$13="ICAO (3000ft)",'Aircraft Calc'!E$211,'Aircraft Calc'!I$211)</f>
        <v>4</v>
      </c>
      <c r="J687" s="189">
        <v>1</v>
      </c>
      <c r="K687" s="219">
        <f t="shared" si="193"/>
        <v>188.44200000000001</v>
      </c>
      <c r="L687" s="219">
        <f t="shared" si="194"/>
        <v>2.8801632000000001</v>
      </c>
      <c r="M687" s="219">
        <f t="shared" si="195"/>
        <v>4.9400399999999997E-3</v>
      </c>
      <c r="N687" s="219">
        <f t="shared" si="196"/>
        <v>0.18823007999999999</v>
      </c>
      <c r="O687" s="219">
        <f t="shared" si="197"/>
        <v>1.0641814105963354E-2</v>
      </c>
      <c r="P687" s="233">
        <f t="shared" si="198"/>
        <v>3.3573533922445272E+16</v>
      </c>
      <c r="Q687" s="219">
        <f t="shared" si="199"/>
        <v>5460</v>
      </c>
      <c r="R687" s="219">
        <f t="shared" si="200"/>
        <v>25.1706</v>
      </c>
      <c r="S687" s="219">
        <f t="shared" si="201"/>
        <v>1.5833999999999999</v>
      </c>
      <c r="T687" s="219">
        <f t="shared" si="202"/>
        <v>118.09979999999999</v>
      </c>
      <c r="U687" s="219">
        <f t="shared" si="203"/>
        <v>0.3405595494545044</v>
      </c>
      <c r="V687" s="233">
        <f t="shared" si="204"/>
        <v>3596715522018363</v>
      </c>
      <c r="W687" s="324">
        <v>0.86099999999999999</v>
      </c>
      <c r="X687" s="324">
        <v>0.71</v>
      </c>
      <c r="Y687" s="324">
        <v>0.24399999999999999</v>
      </c>
      <c r="Z687" s="324">
        <v>9.0999999999999998E-2</v>
      </c>
      <c r="AA687" s="324">
        <v>30.8</v>
      </c>
      <c r="AB687" s="324">
        <v>13.38</v>
      </c>
      <c r="AC687" s="324">
        <v>8.75</v>
      </c>
      <c r="AD687" s="324">
        <v>4.6100000000000003</v>
      </c>
      <c r="AE687" s="324">
        <v>0.02</v>
      </c>
      <c r="AF687" s="324">
        <v>0.02</v>
      </c>
      <c r="AG687" s="324">
        <v>0.04</v>
      </c>
      <c r="AH687" s="324">
        <v>0.28999999999999998</v>
      </c>
      <c r="AI687" s="324">
        <v>0.24</v>
      </c>
      <c r="AJ687" s="324">
        <v>0.26</v>
      </c>
      <c r="AK687" s="324">
        <v>2.65</v>
      </c>
      <c r="AL687" s="324">
        <v>21.63</v>
      </c>
      <c r="AM687" s="324">
        <v>3.7852913897496879E-3</v>
      </c>
      <c r="AN687" s="324">
        <v>4.3078044497252962E-3</v>
      </c>
      <c r="AO687" s="324">
        <v>8.8404311082474485E-3</v>
      </c>
      <c r="AP687" s="324">
        <v>1.1624243856136335E-2</v>
      </c>
      <c r="AQ687" s="324">
        <v>5.5045291389749687E-2</v>
      </c>
      <c r="AR687" s="324">
        <v>5.4787804449725294E-2</v>
      </c>
      <c r="AS687" s="324">
        <v>6.0050431108247454E-2</v>
      </c>
      <c r="AT687" s="324">
        <v>6.2373543856136339E-2</v>
      </c>
      <c r="AU687" s="319">
        <v>24899261599612.555</v>
      </c>
      <c r="AV687" s="319">
        <v>35591304980612.008</v>
      </c>
      <c r="AW687" s="319">
        <v>500982064919691.31</v>
      </c>
      <c r="AX687" s="319">
        <v>658739106596769.75</v>
      </c>
      <c r="AY687" s="234">
        <v>3.5</v>
      </c>
      <c r="AZ687" s="240">
        <v>120.6</v>
      </c>
      <c r="BA687" s="234">
        <v>2018</v>
      </c>
      <c r="BB687" s="235">
        <v>43696</v>
      </c>
      <c r="BC687" s="234" t="s">
        <v>2578</v>
      </c>
    </row>
    <row r="688" spans="1:55" s="231" customFormat="1" x14ac:dyDescent="0.2">
      <c r="A688" s="231" t="s">
        <v>3670</v>
      </c>
      <c r="B688" s="231" t="s">
        <v>3678</v>
      </c>
      <c r="C688" s="231" t="s">
        <v>1052</v>
      </c>
      <c r="D688" s="232" t="s">
        <v>1043</v>
      </c>
      <c r="E688" s="231" t="s">
        <v>3682</v>
      </c>
      <c r="F688" s="231" t="s">
        <v>3687</v>
      </c>
      <c r="G688" s="186">
        <f>IF(ALECA_Input!$F$13="ICAO (3000ft)",'Aircraft Calc'!C$211,'Aircraft Calc'!G$211)</f>
        <v>0.7</v>
      </c>
      <c r="H688" s="186">
        <f>IF(ALECA_Input!$F$13="ICAO (3000ft)",'Aircraft Calc'!D$211,'Aircraft Calc'!H$211)</f>
        <v>2.2000000000000002</v>
      </c>
      <c r="I688" s="186">
        <f>IF(ALECA_Input!$F$13="ICAO (3000ft)",'Aircraft Calc'!E$211,'Aircraft Calc'!I$211)</f>
        <v>4</v>
      </c>
      <c r="J688" s="189">
        <v>1</v>
      </c>
      <c r="K688" s="219">
        <f t="shared" si="193"/>
        <v>204.93600000000004</v>
      </c>
      <c r="L688" s="219">
        <f t="shared" si="194"/>
        <v>4.7035330800000006</v>
      </c>
      <c r="M688" s="219">
        <f t="shared" si="195"/>
        <v>6.1461600000000012E-3</v>
      </c>
      <c r="N688" s="219">
        <f t="shared" si="196"/>
        <v>0.17275176000000003</v>
      </c>
      <c r="O688" s="219">
        <f t="shared" si="197"/>
        <v>1.1642255130663649E-2</v>
      </c>
      <c r="P688" s="233">
        <f t="shared" si="198"/>
        <v>3.590935419424504E+16</v>
      </c>
      <c r="Q688" s="219">
        <f t="shared" si="199"/>
        <v>5640</v>
      </c>
      <c r="R688" s="219">
        <f t="shared" si="200"/>
        <v>26.620799999999996</v>
      </c>
      <c r="S688" s="219">
        <f t="shared" si="201"/>
        <v>1.41</v>
      </c>
      <c r="T688" s="219">
        <f t="shared" si="202"/>
        <v>114.492</v>
      </c>
      <c r="U688" s="219">
        <f t="shared" si="203"/>
        <v>0.35039483534860894</v>
      </c>
      <c r="V688" s="233">
        <f t="shared" si="204"/>
        <v>3715288561205781</v>
      </c>
      <c r="W688" s="324">
        <v>0.94599999999999995</v>
      </c>
      <c r="X688" s="324">
        <v>0.77700000000000002</v>
      </c>
      <c r="Y688" s="324">
        <v>0.26100000000000001</v>
      </c>
      <c r="Z688" s="324">
        <v>9.4E-2</v>
      </c>
      <c r="AA688" s="324">
        <v>49.48</v>
      </c>
      <c r="AB688" s="324">
        <v>21.03</v>
      </c>
      <c r="AC688" s="324">
        <v>9.27</v>
      </c>
      <c r="AD688" s="324">
        <v>4.72</v>
      </c>
      <c r="AE688" s="324">
        <v>0.04</v>
      </c>
      <c r="AF688" s="324">
        <v>0.02</v>
      </c>
      <c r="AG688" s="324">
        <v>0.04</v>
      </c>
      <c r="AH688" s="324">
        <v>0.25</v>
      </c>
      <c r="AI688" s="324">
        <v>0.27</v>
      </c>
      <c r="AJ688" s="324">
        <v>0.23</v>
      </c>
      <c r="AK688" s="324">
        <v>2.21</v>
      </c>
      <c r="AL688" s="324">
        <v>20.3</v>
      </c>
      <c r="AM688" s="324">
        <v>3.3573399391272152E-3</v>
      </c>
      <c r="AN688" s="324">
        <v>4.3078044497252962E-3</v>
      </c>
      <c r="AO688" s="324">
        <v>8.8404311082474485E-3</v>
      </c>
      <c r="AP688" s="324">
        <v>1.1624243856136335E-2</v>
      </c>
      <c r="AQ688" s="324">
        <v>5.6917339939127225E-2</v>
      </c>
      <c r="AR688" s="324">
        <v>5.4787804449725294E-2</v>
      </c>
      <c r="AS688" s="324">
        <v>6.0050431108247454E-2</v>
      </c>
      <c r="AT688" s="324">
        <v>6.2126743856136341E-2</v>
      </c>
      <c r="AU688" s="319">
        <v>22084240502468.629</v>
      </c>
      <c r="AV688" s="319">
        <v>35591304980612.008</v>
      </c>
      <c r="AW688" s="319">
        <v>500982064919691.31</v>
      </c>
      <c r="AX688" s="319">
        <v>658739106596769.75</v>
      </c>
      <c r="AY688" s="234">
        <v>5.4</v>
      </c>
      <c r="AZ688" s="240">
        <v>130.30000000000001</v>
      </c>
      <c r="BA688" s="234">
        <v>2016</v>
      </c>
      <c r="BB688" s="235">
        <v>43696</v>
      </c>
      <c r="BC688" s="234"/>
    </row>
    <row r="689" spans="1:55" s="231" customFormat="1" x14ac:dyDescent="0.2">
      <c r="A689" s="231" t="s">
        <v>3671</v>
      </c>
      <c r="B689" s="231" t="s">
        <v>3679</v>
      </c>
      <c r="C689" s="231" t="s">
        <v>1052</v>
      </c>
      <c r="D689" s="232" t="s">
        <v>1043</v>
      </c>
      <c r="E689" s="231" t="s">
        <v>3683</v>
      </c>
      <c r="F689" s="231" t="s">
        <v>3683</v>
      </c>
      <c r="G689" s="186">
        <f>IF(ALECA_Input!$F$13="ICAO (3000ft)",'Aircraft Calc'!C$211,'Aircraft Calc'!G$211)</f>
        <v>0.7</v>
      </c>
      <c r="H689" s="186">
        <f>IF(ALECA_Input!$F$13="ICAO (3000ft)",'Aircraft Calc'!D$211,'Aircraft Calc'!H$211)</f>
        <v>2.2000000000000002</v>
      </c>
      <c r="I689" s="186">
        <f>IF(ALECA_Input!$F$13="ICAO (3000ft)",'Aircraft Calc'!E$211,'Aircraft Calc'!I$211)</f>
        <v>4</v>
      </c>
      <c r="J689" s="189">
        <v>1</v>
      </c>
      <c r="K689" s="219">
        <f t="shared" si="193"/>
        <v>190.93799999999999</v>
      </c>
      <c r="L689" s="219">
        <f t="shared" si="194"/>
        <v>3.3933523800000001</v>
      </c>
      <c r="M689" s="219">
        <f t="shared" si="195"/>
        <v>8.2255200000000001E-3</v>
      </c>
      <c r="N689" s="219">
        <f t="shared" si="196"/>
        <v>0.10838573999999999</v>
      </c>
      <c r="O689" s="219">
        <f t="shared" si="197"/>
        <v>1.0870226580191482E-2</v>
      </c>
      <c r="P689" s="233">
        <f t="shared" si="198"/>
        <v>2.8934643651084348E+16</v>
      </c>
      <c r="Q689" s="219">
        <f t="shared" si="199"/>
        <v>5340</v>
      </c>
      <c r="R689" s="219">
        <f t="shared" si="200"/>
        <v>25.311600000000002</v>
      </c>
      <c r="S689" s="219">
        <f t="shared" si="201"/>
        <v>3.7913999999999999</v>
      </c>
      <c r="T689" s="219">
        <f t="shared" si="202"/>
        <v>86.454599999999999</v>
      </c>
      <c r="U689" s="219">
        <f t="shared" si="203"/>
        <v>0.3319008600775244</v>
      </c>
      <c r="V689" s="233">
        <f t="shared" si="204"/>
        <v>2666948955313535</v>
      </c>
      <c r="W689" s="324">
        <v>0.877</v>
      </c>
      <c r="X689" s="324">
        <v>0.72199999999999998</v>
      </c>
      <c r="Y689" s="324">
        <v>0.245</v>
      </c>
      <c r="Z689" s="324">
        <v>8.8999999999999996E-2</v>
      </c>
      <c r="AA689" s="324">
        <v>30.39</v>
      </c>
      <c r="AB689" s="324">
        <v>17.53</v>
      </c>
      <c r="AC689" s="324">
        <v>10.26</v>
      </c>
      <c r="AD689" s="324">
        <v>4.74</v>
      </c>
      <c r="AE689" s="324">
        <v>0.04</v>
      </c>
      <c r="AF689" s="324">
        <v>0.04</v>
      </c>
      <c r="AG689" s="324">
        <v>0.05</v>
      </c>
      <c r="AH689" s="324">
        <v>0.71</v>
      </c>
      <c r="AI689" s="324">
        <v>0.15</v>
      </c>
      <c r="AJ689" s="324">
        <v>0.16</v>
      </c>
      <c r="AK689" s="324">
        <v>1.49</v>
      </c>
      <c r="AL689" s="324">
        <v>16.190000000000001</v>
      </c>
      <c r="AM689" s="324">
        <v>3.0332437882557958E-3</v>
      </c>
      <c r="AN689" s="324">
        <v>3.5379523589492302E-3</v>
      </c>
      <c r="AO689" s="324">
        <v>7.6268541985981134E-3</v>
      </c>
      <c r="AP689" s="324">
        <v>8.8130191156412744E-3</v>
      </c>
      <c r="AQ689" s="324">
        <v>5.6593243788255795E-2</v>
      </c>
      <c r="AR689" s="324">
        <v>5.553795235894924E-2</v>
      </c>
      <c r="AS689" s="324">
        <v>5.9399354198598119E-2</v>
      </c>
      <c r="AT689" s="324">
        <v>6.215371911564127E-2</v>
      </c>
      <c r="AU689" s="319">
        <v>19952368999569.984</v>
      </c>
      <c r="AV689" s="319">
        <v>29230746865092.152</v>
      </c>
      <c r="AW689" s="319">
        <v>432209370614344.31</v>
      </c>
      <c r="AX689" s="319">
        <v>499428643317141.44</v>
      </c>
      <c r="AY689" s="234">
        <v>4.0999999999999996</v>
      </c>
      <c r="AZ689" s="240">
        <v>111.3</v>
      </c>
      <c r="BA689" s="234">
        <v>2016</v>
      </c>
      <c r="BB689" s="235">
        <v>43696</v>
      </c>
      <c r="BC689" s="234"/>
    </row>
    <row r="690" spans="1:55" s="231" customFormat="1" x14ac:dyDescent="0.2">
      <c r="A690" s="231" t="s">
        <v>3672</v>
      </c>
      <c r="B690" s="231" t="s">
        <v>3680</v>
      </c>
      <c r="C690" s="231" t="s">
        <v>1052</v>
      </c>
      <c r="D690" s="232" t="s">
        <v>1043</v>
      </c>
      <c r="E690" s="231" t="s">
        <v>3684</v>
      </c>
      <c r="F690" s="231" t="s">
        <v>3684</v>
      </c>
      <c r="G690" s="186">
        <f>IF(ALECA_Input!$F$13="ICAO (3000ft)",'Aircraft Calc'!C$211,'Aircraft Calc'!G$211)</f>
        <v>0.7</v>
      </c>
      <c r="H690" s="186">
        <f>IF(ALECA_Input!$F$13="ICAO (3000ft)",'Aircraft Calc'!D$211,'Aircraft Calc'!H$211)</f>
        <v>2.2000000000000002</v>
      </c>
      <c r="I690" s="186">
        <f>IF(ALECA_Input!$F$13="ICAO (3000ft)",'Aircraft Calc'!E$211,'Aircraft Calc'!I$211)</f>
        <v>4</v>
      </c>
      <c r="J690" s="189">
        <v>1</v>
      </c>
      <c r="K690" s="219">
        <f t="shared" si="193"/>
        <v>198.45600000000002</v>
      </c>
      <c r="L690" s="219">
        <f t="shared" si="194"/>
        <v>3.9166207200000001</v>
      </c>
      <c r="M690" s="219">
        <f t="shared" si="195"/>
        <v>8.5454400000000014E-3</v>
      </c>
      <c r="N690" s="219">
        <f t="shared" si="196"/>
        <v>0.10263168</v>
      </c>
      <c r="O690" s="219">
        <f t="shared" si="197"/>
        <v>1.1296903364919392E-2</v>
      </c>
      <c r="P690" s="233">
        <f t="shared" si="198"/>
        <v>2.9912921380670952E+16</v>
      </c>
      <c r="Q690" s="219">
        <f t="shared" si="199"/>
        <v>5460</v>
      </c>
      <c r="R690" s="219">
        <f t="shared" si="200"/>
        <v>25.279799999999998</v>
      </c>
      <c r="S690" s="219">
        <f t="shared" si="201"/>
        <v>3.4944000000000002</v>
      </c>
      <c r="T690" s="219">
        <f t="shared" si="202"/>
        <v>85.230599999999995</v>
      </c>
      <c r="U690" s="219">
        <f t="shared" si="203"/>
        <v>0.33700113237140139</v>
      </c>
      <c r="V690" s="233">
        <f t="shared" si="204"/>
        <v>2726880392511592</v>
      </c>
      <c r="W690" s="324">
        <v>0.91600000000000004</v>
      </c>
      <c r="X690" s="324">
        <v>0.752</v>
      </c>
      <c r="Y690" s="324">
        <v>0.253</v>
      </c>
      <c r="Z690" s="324">
        <v>9.0999999999999998E-2</v>
      </c>
      <c r="AA690" s="324">
        <v>38.19</v>
      </c>
      <c r="AB690" s="324">
        <v>18.11</v>
      </c>
      <c r="AC690" s="324">
        <v>10.7</v>
      </c>
      <c r="AD690" s="324">
        <v>4.63</v>
      </c>
      <c r="AE690" s="324">
        <v>0.04</v>
      </c>
      <c r="AF690" s="324">
        <v>0.04</v>
      </c>
      <c r="AG690" s="324">
        <v>0.05</v>
      </c>
      <c r="AH690" s="324">
        <v>0.64</v>
      </c>
      <c r="AI690" s="324">
        <v>0.16</v>
      </c>
      <c r="AJ690" s="324">
        <v>0.14000000000000001</v>
      </c>
      <c r="AK690" s="324">
        <v>1.36</v>
      </c>
      <c r="AL690" s="324">
        <v>15.61</v>
      </c>
      <c r="AM690" s="324">
        <v>3.0332437882557958E-3</v>
      </c>
      <c r="AN690" s="324">
        <v>3.5379523589492302E-3</v>
      </c>
      <c r="AO690" s="324">
        <v>7.6268541985981134E-3</v>
      </c>
      <c r="AP690" s="324">
        <v>8.8130191156412744E-3</v>
      </c>
      <c r="AQ690" s="324">
        <v>5.6593243788255795E-2</v>
      </c>
      <c r="AR690" s="324">
        <v>5.553795235894924E-2</v>
      </c>
      <c r="AS690" s="324">
        <v>5.9399354198598119E-2</v>
      </c>
      <c r="AT690" s="324">
        <v>6.1721819115641285E-2</v>
      </c>
      <c r="AU690" s="319">
        <v>19952368999569.984</v>
      </c>
      <c r="AV690" s="319">
        <v>29230746865092.152</v>
      </c>
      <c r="AW690" s="319">
        <v>432209370614344.31</v>
      </c>
      <c r="AX690" s="319">
        <v>499428643317141.44</v>
      </c>
      <c r="AY690" s="234">
        <v>4.5999999999999996</v>
      </c>
      <c r="AZ690" s="240">
        <v>115.2</v>
      </c>
      <c r="BA690" s="234">
        <v>2016</v>
      </c>
      <c r="BB690" s="235">
        <v>43696</v>
      </c>
      <c r="BC690" s="234"/>
    </row>
    <row r="691" spans="1:55" s="231" customFormat="1" x14ac:dyDescent="0.2">
      <c r="A691" s="231" t="s">
        <v>3673</v>
      </c>
      <c r="B691" s="231" t="s">
        <v>2579</v>
      </c>
      <c r="C691" s="231" t="s">
        <v>1052</v>
      </c>
      <c r="D691" s="232" t="s">
        <v>1043</v>
      </c>
      <c r="E691" s="231" t="s">
        <v>2580</v>
      </c>
      <c r="F691" s="231" t="s">
        <v>2581</v>
      </c>
      <c r="G691" s="186">
        <f>IF(ALECA_Input!$F$13="ICAO (3000ft)",'Aircraft Calc'!C$211,'Aircraft Calc'!G$211)</f>
        <v>0.7</v>
      </c>
      <c r="H691" s="186">
        <f>IF(ALECA_Input!$F$13="ICAO (3000ft)",'Aircraft Calc'!D$211,'Aircraft Calc'!H$211)</f>
        <v>2.2000000000000002</v>
      </c>
      <c r="I691" s="186">
        <f>IF(ALECA_Input!$F$13="ICAO (3000ft)",'Aircraft Calc'!E$211,'Aircraft Calc'!I$211)</f>
        <v>4</v>
      </c>
      <c r="J691" s="189">
        <v>1</v>
      </c>
      <c r="K691" s="219">
        <f t="shared" si="181"/>
        <v>227.47200000000001</v>
      </c>
      <c r="L691" s="219">
        <f t="shared" si="182"/>
        <v>7.053638760000001</v>
      </c>
      <c r="M691" s="219">
        <f t="shared" si="183"/>
        <v>7.2507599999999993E-3</v>
      </c>
      <c r="N691" s="219">
        <f t="shared" si="184"/>
        <v>0.16291751999999998</v>
      </c>
      <c r="O691" s="219">
        <f t="shared" si="185"/>
        <v>1.2967672487802066E-2</v>
      </c>
      <c r="P691" s="233">
        <f t="shared" si="186"/>
        <v>3.9214590420014312E+16</v>
      </c>
      <c r="Q691" s="219">
        <f t="shared" si="187"/>
        <v>5880</v>
      </c>
      <c r="R691" s="219">
        <f t="shared" si="188"/>
        <v>28.517999999999997</v>
      </c>
      <c r="S691" s="219">
        <f t="shared" si="189"/>
        <v>1.2347999999999999</v>
      </c>
      <c r="T691" s="219">
        <f t="shared" si="190"/>
        <v>109.83839999999999</v>
      </c>
      <c r="U691" s="219">
        <f t="shared" si="191"/>
        <v>0.3638540698740817</v>
      </c>
      <c r="V691" s="233">
        <f t="shared" si="192"/>
        <v>3873385946789006</v>
      </c>
      <c r="W691" s="324">
        <v>1.0620000000000001</v>
      </c>
      <c r="X691" s="324">
        <v>0.86899999999999999</v>
      </c>
      <c r="Y691" s="324">
        <v>0.28399999999999997</v>
      </c>
      <c r="Z691" s="324">
        <v>9.8000000000000004E-2</v>
      </c>
      <c r="AA691" s="324">
        <v>59.74</v>
      </c>
      <c r="AB691" s="324">
        <v>32.35</v>
      </c>
      <c r="AC691" s="324">
        <v>9.9499999999999993</v>
      </c>
      <c r="AD691" s="324">
        <v>4.8499999999999996</v>
      </c>
      <c r="AE691" s="324">
        <v>0.05</v>
      </c>
      <c r="AF691" s="324">
        <v>0.02</v>
      </c>
      <c r="AG691" s="324">
        <v>0.04</v>
      </c>
      <c r="AH691" s="324">
        <v>0.21</v>
      </c>
      <c r="AI691" s="324">
        <v>0.3</v>
      </c>
      <c r="AJ691" s="324">
        <v>0.24</v>
      </c>
      <c r="AK691" s="324">
        <v>1.79</v>
      </c>
      <c r="AL691" s="324">
        <v>18.68</v>
      </c>
      <c r="AM691" s="324">
        <v>3.3573399391272152E-3</v>
      </c>
      <c r="AN691" s="324">
        <v>4.3078044497252962E-3</v>
      </c>
      <c r="AO691" s="324">
        <v>8.8404311082474485E-3</v>
      </c>
      <c r="AP691" s="324">
        <v>1.1624243856136335E-2</v>
      </c>
      <c r="AQ691" s="324">
        <v>5.8067339939127223E-2</v>
      </c>
      <c r="AR691" s="324">
        <v>5.4787804449725294E-2</v>
      </c>
      <c r="AS691" s="324">
        <v>6.0050431108247454E-2</v>
      </c>
      <c r="AT691" s="324">
        <v>6.1879943856136342E-2</v>
      </c>
      <c r="AU691" s="319">
        <v>22084240502468.629</v>
      </c>
      <c r="AV691" s="319">
        <v>35591304980612.008</v>
      </c>
      <c r="AW691" s="319">
        <v>500982064919691.31</v>
      </c>
      <c r="AX691" s="319">
        <v>658739106596769.75</v>
      </c>
      <c r="AY691" s="234">
        <v>7.8</v>
      </c>
      <c r="AZ691" s="240">
        <v>143.1</v>
      </c>
      <c r="BA691" s="234">
        <v>2016</v>
      </c>
      <c r="BB691" s="235">
        <v>43696</v>
      </c>
      <c r="BC691" s="234" t="s">
        <v>2578</v>
      </c>
    </row>
    <row r="692" spans="1:55" s="231" customFormat="1" x14ac:dyDescent="0.2">
      <c r="A692" s="231" t="s">
        <v>3674</v>
      </c>
      <c r="B692" s="231" t="s">
        <v>2582</v>
      </c>
      <c r="C692" s="231" t="s">
        <v>1052</v>
      </c>
      <c r="D692" s="232" t="s">
        <v>1043</v>
      </c>
      <c r="E692" s="231" t="s">
        <v>2583</v>
      </c>
      <c r="F692" s="231" t="s">
        <v>2583</v>
      </c>
      <c r="G692" s="186">
        <f>IF(ALECA_Input!$F$13="ICAO (3000ft)",'Aircraft Calc'!C$211,'Aircraft Calc'!G$211)</f>
        <v>0.7</v>
      </c>
      <c r="H692" s="186">
        <f>IF(ALECA_Input!$F$13="ICAO (3000ft)",'Aircraft Calc'!D$211,'Aircraft Calc'!H$211)</f>
        <v>2.2000000000000002</v>
      </c>
      <c r="I692" s="186">
        <f>IF(ALECA_Input!$F$13="ICAO (3000ft)",'Aircraft Calc'!E$211,'Aircraft Calc'!I$211)</f>
        <v>4</v>
      </c>
      <c r="J692" s="189">
        <v>1</v>
      </c>
      <c r="K692" s="219">
        <f t="shared" si="181"/>
        <v>206.208</v>
      </c>
      <c r="L692" s="219">
        <f t="shared" si="182"/>
        <v>4.7702688000000002</v>
      </c>
      <c r="M692" s="219">
        <f t="shared" si="183"/>
        <v>8.8723199999999995E-3</v>
      </c>
      <c r="N692" s="219">
        <f t="shared" si="184"/>
        <v>9.9342719999999995E-2</v>
      </c>
      <c r="O692" s="219">
        <f t="shared" si="185"/>
        <v>1.1735870905257935E-2</v>
      </c>
      <c r="P692" s="233">
        <f t="shared" si="186"/>
        <v>3.0799375775972408E+16</v>
      </c>
      <c r="Q692" s="219">
        <f t="shared" si="187"/>
        <v>5460</v>
      </c>
      <c r="R692" s="219">
        <f t="shared" si="188"/>
        <v>24.952200000000001</v>
      </c>
      <c r="S692" s="219">
        <f t="shared" si="189"/>
        <v>3.2213999999999996</v>
      </c>
      <c r="T692" s="219">
        <f t="shared" si="190"/>
        <v>83.374200000000002</v>
      </c>
      <c r="U692" s="219">
        <f t="shared" si="191"/>
        <v>0.33531672237140142</v>
      </c>
      <c r="V692" s="233">
        <f t="shared" si="192"/>
        <v>2726880392511592</v>
      </c>
      <c r="W692" s="324">
        <v>0.96</v>
      </c>
      <c r="X692" s="324">
        <v>0.78400000000000003</v>
      </c>
      <c r="Y692" s="324">
        <v>0.26</v>
      </c>
      <c r="Z692" s="324">
        <v>9.0999999999999998E-2</v>
      </c>
      <c r="AA692" s="324">
        <v>48.9</v>
      </c>
      <c r="AB692" s="324">
        <v>20.350000000000001</v>
      </c>
      <c r="AC692" s="324">
        <v>11.1</v>
      </c>
      <c r="AD692" s="324">
        <v>4.57</v>
      </c>
      <c r="AE692" s="324">
        <v>0.04</v>
      </c>
      <c r="AF692" s="324">
        <v>0.04</v>
      </c>
      <c r="AG692" s="324">
        <v>0.05</v>
      </c>
      <c r="AH692" s="324">
        <v>0.59</v>
      </c>
      <c r="AI692" s="324">
        <v>0.17</v>
      </c>
      <c r="AJ692" s="324">
        <v>0.14000000000000001</v>
      </c>
      <c r="AK692" s="324">
        <v>1.25</v>
      </c>
      <c r="AL692" s="324">
        <v>15.27</v>
      </c>
      <c r="AM692" s="324">
        <v>3.0332437882557958E-3</v>
      </c>
      <c r="AN692" s="324">
        <v>3.5379523589492302E-3</v>
      </c>
      <c r="AO692" s="324">
        <v>7.6268541985981134E-3</v>
      </c>
      <c r="AP692" s="324">
        <v>8.8130191156412744E-3</v>
      </c>
      <c r="AQ692" s="324">
        <v>5.6593243788255795E-2</v>
      </c>
      <c r="AR692" s="324">
        <v>5.553795235894924E-2</v>
      </c>
      <c r="AS692" s="324">
        <v>5.9399354198598119E-2</v>
      </c>
      <c r="AT692" s="324">
        <v>6.1413319115641282E-2</v>
      </c>
      <c r="AU692" s="319">
        <v>19952368999569.984</v>
      </c>
      <c r="AV692" s="319">
        <v>29230746865092.152</v>
      </c>
      <c r="AW692" s="319">
        <v>432209370614344.31</v>
      </c>
      <c r="AX692" s="319">
        <v>499428643317141.44</v>
      </c>
      <c r="AY692" s="234">
        <v>5.4</v>
      </c>
      <c r="AZ692" s="240">
        <v>119.2</v>
      </c>
      <c r="BA692" s="234">
        <v>2016</v>
      </c>
      <c r="BB692" s="235">
        <v>43696</v>
      </c>
      <c r="BC692" s="234" t="s">
        <v>716</v>
      </c>
    </row>
    <row r="693" spans="1:55" s="231" customFormat="1" x14ac:dyDescent="0.2">
      <c r="A693" s="231" t="s">
        <v>3675</v>
      </c>
      <c r="B693" s="231" t="s">
        <v>2584</v>
      </c>
      <c r="C693" s="231" t="s">
        <v>1052</v>
      </c>
      <c r="D693" s="232" t="s">
        <v>1043</v>
      </c>
      <c r="E693" s="231" t="s">
        <v>2585</v>
      </c>
      <c r="F693" s="231" t="s">
        <v>3688</v>
      </c>
      <c r="G693" s="186">
        <f>IF(ALECA_Input!$F$13="ICAO (3000ft)",'Aircraft Calc'!C$211,'Aircraft Calc'!G$211)</f>
        <v>0.7</v>
      </c>
      <c r="H693" s="186">
        <f>IF(ALECA_Input!$F$13="ICAO (3000ft)",'Aircraft Calc'!D$211,'Aircraft Calc'!H$211)</f>
        <v>2.2000000000000002</v>
      </c>
      <c r="I693" s="186">
        <f>IF(ALECA_Input!$F$13="ICAO (3000ft)",'Aircraft Calc'!E$211,'Aircraft Calc'!I$211)</f>
        <v>4</v>
      </c>
      <c r="J693" s="189">
        <v>1</v>
      </c>
      <c r="K693" s="219">
        <f t="shared" si="181"/>
        <v>217.14000000000001</v>
      </c>
      <c r="L693" s="219">
        <f t="shared" si="182"/>
        <v>5.6488740000000002</v>
      </c>
      <c r="M693" s="219">
        <f t="shared" si="183"/>
        <v>9.7666800000000015E-3</v>
      </c>
      <c r="N693" s="219">
        <f t="shared" si="184"/>
        <v>9.5231640000000034E-2</v>
      </c>
      <c r="O693" s="219">
        <f t="shared" si="185"/>
        <v>1.2406428975147342E-2</v>
      </c>
      <c r="P693" s="233">
        <f t="shared" si="186"/>
        <v>3.235517624580026E+16</v>
      </c>
      <c r="Q693" s="219">
        <f t="shared" si="187"/>
        <v>5700</v>
      </c>
      <c r="R693" s="219">
        <f t="shared" si="188"/>
        <v>26.163</v>
      </c>
      <c r="S693" s="219">
        <f t="shared" si="189"/>
        <v>2.907</v>
      </c>
      <c r="T693" s="219">
        <f t="shared" si="190"/>
        <v>82.08</v>
      </c>
      <c r="U693" s="219">
        <f t="shared" si="191"/>
        <v>0.34724239895915532</v>
      </c>
      <c r="V693" s="233">
        <f t="shared" si="192"/>
        <v>2846743266907706.5</v>
      </c>
      <c r="W693" s="324">
        <v>1.014</v>
      </c>
      <c r="X693" s="324">
        <v>0.82599999999999996</v>
      </c>
      <c r="Y693" s="324">
        <v>0.27300000000000002</v>
      </c>
      <c r="Z693" s="324">
        <v>9.5000000000000001E-2</v>
      </c>
      <c r="AA693" s="324">
        <v>55.26</v>
      </c>
      <c r="AB693" s="324">
        <v>23.26</v>
      </c>
      <c r="AC693" s="324">
        <v>11.59</v>
      </c>
      <c r="AD693" s="324">
        <v>4.59</v>
      </c>
      <c r="AE693" s="324">
        <v>0.05</v>
      </c>
      <c r="AF693" s="324">
        <v>0.04</v>
      </c>
      <c r="AG693" s="324">
        <v>0.05</v>
      </c>
      <c r="AH693" s="324">
        <v>0.51</v>
      </c>
      <c r="AI693" s="324">
        <v>0.17</v>
      </c>
      <c r="AJ693" s="324">
        <v>0.14000000000000001</v>
      </c>
      <c r="AK693" s="324">
        <v>1.1100000000000001</v>
      </c>
      <c r="AL693" s="324">
        <v>14.4</v>
      </c>
      <c r="AM693" s="324">
        <v>3.0332437882557958E-3</v>
      </c>
      <c r="AN693" s="324">
        <v>3.5379523589492302E-3</v>
      </c>
      <c r="AO693" s="324">
        <v>7.6268541985981134E-3</v>
      </c>
      <c r="AP693" s="324">
        <v>8.8130191156412744E-3</v>
      </c>
      <c r="AQ693" s="324">
        <v>5.7743243788255801E-2</v>
      </c>
      <c r="AR693" s="324">
        <v>5.553795235894924E-2</v>
      </c>
      <c r="AS693" s="324">
        <v>5.9399354198598119E-2</v>
      </c>
      <c r="AT693" s="324">
        <v>6.0919719115641278E-2</v>
      </c>
      <c r="AU693" s="319">
        <v>19952368999569.984</v>
      </c>
      <c r="AV693" s="319">
        <v>29230746865092.152</v>
      </c>
      <c r="AW693" s="319">
        <v>432209370614344.31</v>
      </c>
      <c r="AX693" s="319">
        <v>499428643317141.44</v>
      </c>
      <c r="AY693" s="234">
        <v>6.3</v>
      </c>
      <c r="AZ693" s="240">
        <v>124.7</v>
      </c>
      <c r="BA693" s="234">
        <v>2016</v>
      </c>
      <c r="BB693" s="235">
        <v>43696</v>
      </c>
      <c r="BC693" s="234" t="s">
        <v>716</v>
      </c>
    </row>
    <row r="694" spans="1:55" s="231" customFormat="1" x14ac:dyDescent="0.2">
      <c r="A694" s="231" t="s">
        <v>3676</v>
      </c>
      <c r="B694" s="231" t="s">
        <v>2586</v>
      </c>
      <c r="C694" s="231" t="s">
        <v>1052</v>
      </c>
      <c r="D694" s="232" t="s">
        <v>1043</v>
      </c>
      <c r="E694" s="231" t="s">
        <v>407</v>
      </c>
      <c r="F694" s="231" t="s">
        <v>3689</v>
      </c>
      <c r="G694" s="186">
        <f>IF(ALECA_Input!$F$13="ICAO (3000ft)",'Aircraft Calc'!C$211,'Aircraft Calc'!G$211)</f>
        <v>0.7</v>
      </c>
      <c r="H694" s="186">
        <f>IF(ALECA_Input!$F$13="ICAO (3000ft)",'Aircraft Calc'!D$211,'Aircraft Calc'!H$211)</f>
        <v>2.2000000000000002</v>
      </c>
      <c r="I694" s="186">
        <f>IF(ALECA_Input!$F$13="ICAO (3000ft)",'Aircraft Calc'!E$211,'Aircraft Calc'!I$211)</f>
        <v>4</v>
      </c>
      <c r="J694" s="189">
        <v>1</v>
      </c>
      <c r="K694" s="219">
        <f t="shared" si="181"/>
        <v>228.786</v>
      </c>
      <c r="L694" s="219">
        <f t="shared" si="182"/>
        <v>7.1310152399999991</v>
      </c>
      <c r="M694" s="219">
        <f t="shared" si="183"/>
        <v>1.028694E-2</v>
      </c>
      <c r="N694" s="219">
        <f t="shared" si="184"/>
        <v>9.31284E-2</v>
      </c>
      <c r="O694" s="219">
        <f t="shared" si="185"/>
        <v>1.3069994762259736E-2</v>
      </c>
      <c r="P694" s="233">
        <f t="shared" si="186"/>
        <v>3.3832404756097492E+16</v>
      </c>
      <c r="Q694" s="219">
        <f t="shared" si="187"/>
        <v>5820</v>
      </c>
      <c r="R694" s="219">
        <f t="shared" si="188"/>
        <v>27.2376</v>
      </c>
      <c r="S694" s="219">
        <f t="shared" si="189"/>
        <v>2.6772000000000005</v>
      </c>
      <c r="T694" s="219">
        <f t="shared" si="190"/>
        <v>80.141400000000004</v>
      </c>
      <c r="U694" s="219">
        <f t="shared" si="191"/>
        <v>0.35275729525303223</v>
      </c>
      <c r="V694" s="233">
        <f t="shared" si="192"/>
        <v>2906674704105763.5</v>
      </c>
      <c r="W694" s="324">
        <v>1.075</v>
      </c>
      <c r="X694" s="324">
        <v>0.873</v>
      </c>
      <c r="Y694" s="324">
        <v>0.28499999999999998</v>
      </c>
      <c r="Z694" s="324">
        <v>9.7000000000000003E-2</v>
      </c>
      <c r="AA694" s="324">
        <v>64.36</v>
      </c>
      <c r="AB694" s="324">
        <v>29.59</v>
      </c>
      <c r="AC694" s="324">
        <v>11.92</v>
      </c>
      <c r="AD694" s="324">
        <v>4.68</v>
      </c>
      <c r="AE694" s="324">
        <v>0.05</v>
      </c>
      <c r="AF694" s="324">
        <v>0.04</v>
      </c>
      <c r="AG694" s="324">
        <v>0.05</v>
      </c>
      <c r="AH694" s="324">
        <v>0.46</v>
      </c>
      <c r="AI694" s="324">
        <v>0.18</v>
      </c>
      <c r="AJ694" s="324">
        <v>0.15</v>
      </c>
      <c r="AK694" s="324">
        <v>0.99</v>
      </c>
      <c r="AL694" s="324">
        <v>13.77</v>
      </c>
      <c r="AM694" s="324">
        <v>3.0332437882557958E-3</v>
      </c>
      <c r="AN694" s="324">
        <v>3.5379523589492302E-3</v>
      </c>
      <c r="AO694" s="324">
        <v>7.6268541985981134E-3</v>
      </c>
      <c r="AP694" s="324">
        <v>8.8130191156412744E-3</v>
      </c>
      <c r="AQ694" s="324">
        <v>5.7743243788255801E-2</v>
      </c>
      <c r="AR694" s="324">
        <v>5.553795235894924E-2</v>
      </c>
      <c r="AS694" s="324">
        <v>5.9399354198598119E-2</v>
      </c>
      <c r="AT694" s="324">
        <v>6.0611219115641275E-2</v>
      </c>
      <c r="AU694" s="319">
        <v>19952368999569.984</v>
      </c>
      <c r="AV694" s="319">
        <v>29230746865092.152</v>
      </c>
      <c r="AW694" s="319">
        <v>432209370614344.31</v>
      </c>
      <c r="AX694" s="319">
        <v>499428643317141.44</v>
      </c>
      <c r="AY694" s="234">
        <v>7.8</v>
      </c>
      <c r="AZ694" s="240">
        <v>130.4</v>
      </c>
      <c r="BA694" s="234">
        <v>2016</v>
      </c>
      <c r="BB694" s="235">
        <v>43696</v>
      </c>
      <c r="BC694" s="234" t="s">
        <v>716</v>
      </c>
    </row>
    <row r="695" spans="1:55" x14ac:dyDescent="0.2">
      <c r="A695" s="184" t="s">
        <v>2588</v>
      </c>
      <c r="B695" s="184" t="s">
        <v>2587</v>
      </c>
      <c r="C695" s="184" t="s">
        <v>2591</v>
      </c>
      <c r="D695" s="185" t="s">
        <v>1043</v>
      </c>
      <c r="E695" s="184" t="s">
        <v>2589</v>
      </c>
      <c r="F695" s="184" t="s">
        <v>2590</v>
      </c>
      <c r="G695" s="186">
        <f>IF(ALECA_Input!$F$13="ICAO (3000ft)",'Aircraft Calc'!C$211,'Aircraft Calc'!G$211)</f>
        <v>0.7</v>
      </c>
      <c r="H695" s="186">
        <f>IF(ALECA_Input!$F$13="ICAO (3000ft)",'Aircraft Calc'!D$211,'Aircraft Calc'!H$211)</f>
        <v>2.2000000000000002</v>
      </c>
      <c r="I695" s="186">
        <f>IF(ALECA_Input!$F$13="ICAO (3000ft)",'Aircraft Calc'!E$211,'Aircraft Calc'!I$211)</f>
        <v>4</v>
      </c>
      <c r="J695" s="189">
        <v>1</v>
      </c>
      <c r="K695" s="187">
        <f t="shared" si="181"/>
        <v>183.654</v>
      </c>
      <c r="L695" s="187">
        <f t="shared" si="182"/>
        <v>2.3534217599999998</v>
      </c>
      <c r="M695" s="187">
        <f t="shared" si="183"/>
        <v>7.7821199999999991E-3</v>
      </c>
      <c r="N695" s="187">
        <f t="shared" si="184"/>
        <v>0.30471059999999994</v>
      </c>
      <c r="O695" s="187">
        <f t="shared" si="185"/>
        <v>6.2346068937896057E-2</v>
      </c>
      <c r="P695" s="188">
        <f t="shared" si="186"/>
        <v>3.7057464688544768E+17</v>
      </c>
      <c r="Q695" s="187">
        <f t="shared" si="187"/>
        <v>6000</v>
      </c>
      <c r="R695" s="219">
        <f t="shared" si="188"/>
        <v>22.919999999999998</v>
      </c>
      <c r="S695" s="219">
        <f t="shared" si="189"/>
        <v>4.92</v>
      </c>
      <c r="T695" s="219">
        <f t="shared" si="190"/>
        <v>165.3</v>
      </c>
      <c r="U695" s="219">
        <f t="shared" si="191"/>
        <v>0.43811401559318991</v>
      </c>
      <c r="V695" s="188">
        <f t="shared" si="192"/>
        <v>5752033385110144</v>
      </c>
      <c r="W695" s="323">
        <v>0.84099999999999997</v>
      </c>
      <c r="X695" s="323">
        <v>0.69099999999999995</v>
      </c>
      <c r="Y695" s="323">
        <v>0.23799999999999999</v>
      </c>
      <c r="Z695" s="323">
        <v>0.1</v>
      </c>
      <c r="AA695" s="323">
        <v>17.36</v>
      </c>
      <c r="AB695" s="323">
        <v>14.52</v>
      </c>
      <c r="AC695" s="323">
        <v>7.28</v>
      </c>
      <c r="AD695" s="323">
        <v>3.82</v>
      </c>
      <c r="AE695" s="323">
        <v>0.02</v>
      </c>
      <c r="AF695" s="323">
        <v>0.04</v>
      </c>
      <c r="AG695" s="323">
        <v>0.06</v>
      </c>
      <c r="AH695" s="323">
        <v>0.82</v>
      </c>
      <c r="AI695" s="323">
        <v>0.3</v>
      </c>
      <c r="AJ695" s="323">
        <v>0.3</v>
      </c>
      <c r="AK695" s="323">
        <v>4.67</v>
      </c>
      <c r="AL695" s="323">
        <v>27.55</v>
      </c>
      <c r="AM695" s="323">
        <v>0.38524395740297313</v>
      </c>
      <c r="AN695" s="323">
        <v>0.42039745413192453</v>
      </c>
      <c r="AO695" s="323">
        <v>1.4884180116021307E-2</v>
      </c>
      <c r="AP695" s="323">
        <v>1.8999602598865007E-2</v>
      </c>
      <c r="AQ695" s="323">
        <v>0.4365039574029731</v>
      </c>
      <c r="AR695" s="323">
        <v>0.47239745413192458</v>
      </c>
      <c r="AS695" s="323">
        <v>6.7219180116021307E-2</v>
      </c>
      <c r="AT695" s="323">
        <v>7.3019002598864985E-2</v>
      </c>
      <c r="AU695" s="190">
        <v>2429805321873577.5</v>
      </c>
      <c r="AV695" s="190">
        <v>2651524966771536.5</v>
      </c>
      <c r="AW695" s="190">
        <v>751018347987811.25</v>
      </c>
      <c r="AX695" s="190">
        <v>958672230851690.75</v>
      </c>
      <c r="AY695" s="203">
        <v>2.9</v>
      </c>
      <c r="AZ695" s="239">
        <v>72.67</v>
      </c>
      <c r="BA695" s="203">
        <v>2011</v>
      </c>
      <c r="BB695" s="204">
        <v>41208</v>
      </c>
      <c r="BC695" s="203" t="s">
        <v>716</v>
      </c>
    </row>
    <row r="696" spans="1:55" x14ac:dyDescent="0.2">
      <c r="A696" s="184" t="s">
        <v>2593</v>
      </c>
      <c r="B696" s="184" t="s">
        <v>2592</v>
      </c>
      <c r="C696" s="184" t="s">
        <v>2591</v>
      </c>
      <c r="D696" s="185" t="s">
        <v>1043</v>
      </c>
      <c r="E696" s="184" t="s">
        <v>2594</v>
      </c>
      <c r="F696" s="184" t="s">
        <v>2594</v>
      </c>
      <c r="G696" s="186">
        <f>IF(ALECA_Input!$F$13="ICAO (3000ft)",'Aircraft Calc'!C$211,'Aircraft Calc'!G$211)</f>
        <v>0.7</v>
      </c>
      <c r="H696" s="186">
        <f>IF(ALECA_Input!$F$13="ICAO (3000ft)",'Aircraft Calc'!D$211,'Aircraft Calc'!H$211)</f>
        <v>2.2000000000000002</v>
      </c>
      <c r="I696" s="186">
        <f>IF(ALECA_Input!$F$13="ICAO (3000ft)",'Aircraft Calc'!E$211,'Aircraft Calc'!I$211)</f>
        <v>4</v>
      </c>
      <c r="J696" s="189">
        <v>1</v>
      </c>
      <c r="K696" s="187">
        <f t="shared" si="181"/>
        <v>174.13800000000001</v>
      </c>
      <c r="L696" s="187">
        <f t="shared" si="182"/>
        <v>2.1296185800000003</v>
      </c>
      <c r="M696" s="187">
        <f t="shared" si="183"/>
        <v>7.7277000000000005E-3</v>
      </c>
      <c r="N696" s="187">
        <f t="shared" si="184"/>
        <v>0.31709868000000002</v>
      </c>
      <c r="O696" s="187">
        <f t="shared" si="185"/>
        <v>5.8412231923185877E-2</v>
      </c>
      <c r="P696" s="188">
        <f t="shared" si="186"/>
        <v>3.4746150685037261E+17</v>
      </c>
      <c r="Q696" s="187">
        <f t="shared" si="187"/>
        <v>5820</v>
      </c>
      <c r="R696" s="219">
        <f t="shared" si="188"/>
        <v>21.708600000000001</v>
      </c>
      <c r="S696" s="219">
        <f t="shared" si="189"/>
        <v>6.1110000000000007</v>
      </c>
      <c r="T696" s="219">
        <f t="shared" si="190"/>
        <v>170.87520000000001</v>
      </c>
      <c r="U696" s="219">
        <f t="shared" si="191"/>
        <v>0.43446083184890294</v>
      </c>
      <c r="V696" s="188">
        <f t="shared" si="192"/>
        <v>5641589322339636</v>
      </c>
      <c r="W696" s="323">
        <v>0.79100000000000004</v>
      </c>
      <c r="X696" s="323">
        <v>0.65300000000000002</v>
      </c>
      <c r="Y696" s="323">
        <v>0.22800000000000001</v>
      </c>
      <c r="Z696" s="323">
        <v>9.7000000000000003E-2</v>
      </c>
      <c r="AA696" s="323">
        <v>16.37</v>
      </c>
      <c r="AB696" s="323">
        <v>13.89</v>
      </c>
      <c r="AC696" s="323">
        <v>7.1</v>
      </c>
      <c r="AD696" s="323">
        <v>3.73</v>
      </c>
      <c r="AE696" s="323">
        <v>0.03</v>
      </c>
      <c r="AF696" s="323">
        <v>0.04</v>
      </c>
      <c r="AG696" s="323">
        <v>0.06</v>
      </c>
      <c r="AH696" s="323">
        <v>1.05</v>
      </c>
      <c r="AI696" s="323">
        <v>0.26</v>
      </c>
      <c r="AJ696" s="323">
        <v>0.36</v>
      </c>
      <c r="AK696" s="323">
        <v>5.07</v>
      </c>
      <c r="AL696" s="323">
        <v>29.36</v>
      </c>
      <c r="AM696" s="323">
        <v>0.38952288916674921</v>
      </c>
      <c r="AN696" s="323">
        <v>0.41255799319321518</v>
      </c>
      <c r="AO696" s="323">
        <v>1.5049808077590416E-2</v>
      </c>
      <c r="AP696" s="323">
        <v>1.9211127465447245E-2</v>
      </c>
      <c r="AQ696" s="323">
        <v>0.44193288916674922</v>
      </c>
      <c r="AR696" s="323">
        <v>0.46455799319321522</v>
      </c>
      <c r="AS696" s="323">
        <v>6.7384808077590397E-2</v>
      </c>
      <c r="AT696" s="323">
        <v>7.4649627465447232E-2</v>
      </c>
      <c r="AU696" s="190">
        <v>2456793340690655</v>
      </c>
      <c r="AV696" s="190">
        <v>2602080027938735</v>
      </c>
      <c r="AW696" s="190">
        <v>759375518964553.75</v>
      </c>
      <c r="AX696" s="190">
        <v>969345244388253.63</v>
      </c>
      <c r="AY696" s="203">
        <v>2.7</v>
      </c>
      <c r="AZ696" s="239">
        <v>69.209999999999994</v>
      </c>
      <c r="BA696" s="203">
        <v>2011</v>
      </c>
      <c r="BB696" s="204">
        <v>41208</v>
      </c>
      <c r="BC696" s="203" t="s">
        <v>716</v>
      </c>
    </row>
    <row r="697" spans="1:55" x14ac:dyDescent="0.2">
      <c r="A697" s="184" t="s">
        <v>2596</v>
      </c>
      <c r="B697" s="184" t="s">
        <v>2595</v>
      </c>
      <c r="C697" s="184" t="s">
        <v>1052</v>
      </c>
      <c r="D697" s="185" t="s">
        <v>1043</v>
      </c>
      <c r="E697" s="184" t="s">
        <v>2597</v>
      </c>
      <c r="F697" s="184" t="s">
        <v>2598</v>
      </c>
      <c r="G697" s="186">
        <f>IF(ALECA_Input!$F$13="ICAO (3000ft)",'Aircraft Calc'!C$211,'Aircraft Calc'!G$211)</f>
        <v>0.7</v>
      </c>
      <c r="H697" s="186">
        <f>IF(ALECA_Input!$F$13="ICAO (3000ft)",'Aircraft Calc'!D$211,'Aircraft Calc'!H$211)</f>
        <v>2.2000000000000002</v>
      </c>
      <c r="I697" s="186">
        <f>IF(ALECA_Input!$F$13="ICAO (3000ft)",'Aircraft Calc'!E$211,'Aircraft Calc'!I$211)</f>
        <v>4</v>
      </c>
      <c r="J697" s="189">
        <v>1</v>
      </c>
      <c r="K697" s="187">
        <f t="shared" si="181"/>
        <v>250.36200000000002</v>
      </c>
      <c r="L697" s="187">
        <f t="shared" si="182"/>
        <v>4.0415424</v>
      </c>
      <c r="M697" s="187">
        <f t="shared" si="183"/>
        <v>0.25893480000000002</v>
      </c>
      <c r="N697" s="187">
        <f t="shared" si="184"/>
        <v>1.5631593000000004</v>
      </c>
      <c r="O697" s="187">
        <f t="shared" si="185"/>
        <v>3.1017564690598937E-2</v>
      </c>
      <c r="P697" s="188">
        <f t="shared" si="186"/>
        <v>4.5386855605139304E+16</v>
      </c>
      <c r="Q697" s="187">
        <f t="shared" si="187"/>
        <v>6720</v>
      </c>
      <c r="R697" s="219">
        <f t="shared" si="188"/>
        <v>27.551999999999996</v>
      </c>
      <c r="S697" s="219">
        <f t="shared" si="189"/>
        <v>27.551999999999996</v>
      </c>
      <c r="T697" s="219">
        <f t="shared" si="190"/>
        <v>213.35999999999999</v>
      </c>
      <c r="U697" s="219">
        <f t="shared" si="191"/>
        <v>0.61775154583955183</v>
      </c>
      <c r="V697" s="188">
        <f t="shared" si="192"/>
        <v>5991549545430239</v>
      </c>
      <c r="W697" s="323">
        <v>1.1359999999999999</v>
      </c>
      <c r="X697" s="323">
        <v>0.9425</v>
      </c>
      <c r="Y697" s="323">
        <v>0.32600000000000001</v>
      </c>
      <c r="Z697" s="323">
        <v>0.112</v>
      </c>
      <c r="AA697" s="323">
        <v>23.2</v>
      </c>
      <c r="AB697" s="323">
        <v>18.399999999999999</v>
      </c>
      <c r="AC697" s="323">
        <v>8.25</v>
      </c>
      <c r="AD697" s="323">
        <v>4.0999999999999996</v>
      </c>
      <c r="AE697" s="323">
        <v>0.15</v>
      </c>
      <c r="AF697" s="323">
        <v>0.2</v>
      </c>
      <c r="AG697" s="323">
        <v>2.9</v>
      </c>
      <c r="AH697" s="323">
        <v>4.0999999999999996</v>
      </c>
      <c r="AI697" s="323">
        <v>1.1499999999999999</v>
      </c>
      <c r="AJ697" s="323">
        <v>2.25</v>
      </c>
      <c r="AK697" s="323">
        <v>15.7</v>
      </c>
      <c r="AL697" s="323">
        <v>31.75</v>
      </c>
      <c r="AM697" s="323">
        <v>1.6485692449835977E-2</v>
      </c>
      <c r="AN697" s="323">
        <v>1.5571790525445049E-2</v>
      </c>
      <c r="AO697" s="323">
        <v>7.145007070063175E-3</v>
      </c>
      <c r="AP697" s="323">
        <v>1.7670313368980936E-2</v>
      </c>
      <c r="AQ697" s="323">
        <v>8.2695692449835989E-2</v>
      </c>
      <c r="AR697" s="323">
        <v>7.9731790525445045E-2</v>
      </c>
      <c r="AS697" s="323">
        <v>0.21923000707006318</v>
      </c>
      <c r="AT697" s="323">
        <v>9.1927313368980926E-2</v>
      </c>
      <c r="AU697" s="190">
        <v>103978329782034.81</v>
      </c>
      <c r="AV697" s="190">
        <v>98214180294719.719</v>
      </c>
      <c r="AW697" s="190">
        <v>360519112527003.75</v>
      </c>
      <c r="AX697" s="190">
        <v>891599634736642.75</v>
      </c>
      <c r="AY697" s="203">
        <v>4.8</v>
      </c>
      <c r="AZ697" s="239">
        <v>120.1</v>
      </c>
      <c r="BB697" s="204">
        <v>43172</v>
      </c>
      <c r="BC697" s="203" t="s">
        <v>2599</v>
      </c>
    </row>
    <row r="698" spans="1:55" x14ac:dyDescent="0.2">
      <c r="A698" s="184" t="s">
        <v>2601</v>
      </c>
      <c r="B698" s="184" t="s">
        <v>2600</v>
      </c>
      <c r="C698" s="184" t="s">
        <v>1052</v>
      </c>
      <c r="D698" s="185" t="s">
        <v>1043</v>
      </c>
      <c r="E698" s="184" t="s">
        <v>2602</v>
      </c>
      <c r="F698" s="184" t="s">
        <v>2603</v>
      </c>
      <c r="G698" s="186">
        <f>IF(ALECA_Input!$F$13="ICAO (3000ft)",'Aircraft Calc'!C$211,'Aircraft Calc'!G$211)</f>
        <v>0.7</v>
      </c>
      <c r="H698" s="186">
        <f>IF(ALECA_Input!$F$13="ICAO (3000ft)",'Aircraft Calc'!D$211,'Aircraft Calc'!H$211)</f>
        <v>2.2000000000000002</v>
      </c>
      <c r="I698" s="186">
        <f>IF(ALECA_Input!$F$13="ICAO (3000ft)",'Aircraft Calc'!E$211,'Aircraft Calc'!I$211)</f>
        <v>4</v>
      </c>
      <c r="J698" s="189">
        <v>1</v>
      </c>
      <c r="K698" s="187">
        <f t="shared" si="181"/>
        <v>246.798</v>
      </c>
      <c r="L698" s="187">
        <f t="shared" si="182"/>
        <v>4.3941229500000007</v>
      </c>
      <c r="M698" s="187">
        <f t="shared" si="183"/>
        <v>3.9582180000000008E-2</v>
      </c>
      <c r="N698" s="187">
        <f t="shared" si="184"/>
        <v>0.30175827000000005</v>
      </c>
      <c r="O698" s="187">
        <f t="shared" si="185"/>
        <v>2.5581348787360399E-2</v>
      </c>
      <c r="P698" s="188">
        <f t="shared" si="186"/>
        <v>1.1557026761154459E+17</v>
      </c>
      <c r="Q698" s="187">
        <f t="shared" si="187"/>
        <v>6180</v>
      </c>
      <c r="R698" s="219">
        <f t="shared" si="188"/>
        <v>26.326799999999999</v>
      </c>
      <c r="S698" s="219">
        <f t="shared" si="189"/>
        <v>20.146799999999999</v>
      </c>
      <c r="T698" s="219">
        <f t="shared" si="190"/>
        <v>171.4023</v>
      </c>
      <c r="U698" s="219">
        <f t="shared" si="191"/>
        <v>0.5383878495028116</v>
      </c>
      <c r="V698" s="188">
        <f t="shared" si="192"/>
        <v>5626478901691464</v>
      </c>
      <c r="W698" s="323">
        <v>1.137</v>
      </c>
      <c r="X698" s="323">
        <v>0.93700000000000006</v>
      </c>
      <c r="Y698" s="323">
        <v>0.314</v>
      </c>
      <c r="Z698" s="323">
        <v>0.10299999999999999</v>
      </c>
      <c r="AA698" s="323">
        <v>24.785</v>
      </c>
      <c r="AB698" s="323">
        <v>20.215</v>
      </c>
      <c r="AC698" s="323">
        <v>9.4250000000000007</v>
      </c>
      <c r="AD698" s="323">
        <v>4.26</v>
      </c>
      <c r="AE698" s="323">
        <v>0.11</v>
      </c>
      <c r="AF698" s="323">
        <v>0.11</v>
      </c>
      <c r="AG698" s="323">
        <v>0.27500000000000002</v>
      </c>
      <c r="AH698" s="323">
        <v>3.26</v>
      </c>
      <c r="AI698" s="323">
        <v>0.57499999999999996</v>
      </c>
      <c r="AJ698" s="323">
        <v>0.53</v>
      </c>
      <c r="AK698" s="323">
        <v>2.77</v>
      </c>
      <c r="AL698" s="323">
        <v>27.734999999999999</v>
      </c>
      <c r="AM698" s="323">
        <v>5.7329527148024348E-2</v>
      </c>
      <c r="AN698" s="323">
        <v>5.5518063391664957E-2</v>
      </c>
      <c r="AO698" s="323">
        <v>1.4462539482470151E-2</v>
      </c>
      <c r="AP698" s="323">
        <v>1.8043575000454941E-2</v>
      </c>
      <c r="AQ698" s="323">
        <v>0.11893952714802436</v>
      </c>
      <c r="AR698" s="323">
        <v>0.11283806339166497</v>
      </c>
      <c r="AS698" s="323">
        <v>7.889128948247015E-2</v>
      </c>
      <c r="AT698" s="323">
        <v>8.711777500045495E-2</v>
      </c>
      <c r="AU698" s="190">
        <v>361587995055961.44</v>
      </c>
      <c r="AV698" s="190">
        <v>350162756084648.88</v>
      </c>
      <c r="AW698" s="190">
        <v>729743420542310.13</v>
      </c>
      <c r="AX698" s="190">
        <v>910433479238101</v>
      </c>
      <c r="AY698" s="203">
        <v>5.0999999999999996</v>
      </c>
      <c r="AZ698" s="239">
        <v>120.1</v>
      </c>
      <c r="BB698" s="204">
        <v>43172</v>
      </c>
      <c r="BC698" s="203" t="s">
        <v>2599</v>
      </c>
    </row>
    <row r="699" spans="1:55" x14ac:dyDescent="0.2">
      <c r="A699" s="184" t="s">
        <v>2605</v>
      </c>
      <c r="B699" s="184" t="s">
        <v>2604</v>
      </c>
      <c r="C699" s="184" t="s">
        <v>1052</v>
      </c>
      <c r="D699" s="185" t="s">
        <v>1043</v>
      </c>
      <c r="E699" s="184" t="s">
        <v>2606</v>
      </c>
      <c r="F699" s="184" t="s">
        <v>2607</v>
      </c>
      <c r="G699" s="186">
        <f>IF(ALECA_Input!$F$13="ICAO (3000ft)",'Aircraft Calc'!C$211,'Aircraft Calc'!G$211)</f>
        <v>0.7</v>
      </c>
      <c r="H699" s="186">
        <f>IF(ALECA_Input!$F$13="ICAO (3000ft)",'Aircraft Calc'!D$211,'Aircraft Calc'!H$211)</f>
        <v>2.2000000000000002</v>
      </c>
      <c r="I699" s="186">
        <f>IF(ALECA_Input!$F$13="ICAO (3000ft)",'Aircraft Calc'!E$211,'Aircraft Calc'!I$211)</f>
        <v>4</v>
      </c>
      <c r="J699" s="189">
        <v>1</v>
      </c>
      <c r="K699" s="187">
        <f t="shared" si="181"/>
        <v>212.46000000000004</v>
      </c>
      <c r="L699" s="187">
        <f t="shared" si="182"/>
        <v>3.2365903499999997</v>
      </c>
      <c r="M699" s="187">
        <f t="shared" si="183"/>
        <v>3.8856270000000005E-2</v>
      </c>
      <c r="N699" s="187">
        <f t="shared" si="184"/>
        <v>0.32436599999999999</v>
      </c>
      <c r="O699" s="187">
        <f t="shared" si="185"/>
        <v>2.165549276394433E-2</v>
      </c>
      <c r="P699" s="188">
        <f t="shared" si="186"/>
        <v>9.5606605846282336E+16</v>
      </c>
      <c r="Q699" s="187">
        <f t="shared" si="187"/>
        <v>5760</v>
      </c>
      <c r="R699" s="219">
        <f t="shared" si="188"/>
        <v>22.8672</v>
      </c>
      <c r="S699" s="219">
        <f t="shared" si="189"/>
        <v>24.278399999999998</v>
      </c>
      <c r="T699" s="219">
        <f t="shared" si="190"/>
        <v>190.33920000000001</v>
      </c>
      <c r="U699" s="219">
        <f t="shared" si="191"/>
        <v>0.53573832000262045</v>
      </c>
      <c r="V699" s="188">
        <f t="shared" si="192"/>
        <v>5244096840411462</v>
      </c>
      <c r="W699" s="323">
        <v>0.96299999999999997</v>
      </c>
      <c r="X699" s="323">
        <v>0.79949999999999999</v>
      </c>
      <c r="Y699" s="323">
        <v>0.27700000000000002</v>
      </c>
      <c r="Z699" s="323">
        <v>9.6000000000000002E-2</v>
      </c>
      <c r="AA699" s="323">
        <v>20.664999999999999</v>
      </c>
      <c r="AB699" s="323">
        <v>17.239999999999998</v>
      </c>
      <c r="AC699" s="323">
        <v>8.7449999999999992</v>
      </c>
      <c r="AD699" s="323">
        <v>3.97</v>
      </c>
      <c r="AE699" s="323">
        <v>0.11</v>
      </c>
      <c r="AF699" s="323">
        <v>0.115</v>
      </c>
      <c r="AG699" s="323">
        <v>0.33500000000000002</v>
      </c>
      <c r="AH699" s="323">
        <v>4.2149999999999999</v>
      </c>
      <c r="AI699" s="323">
        <v>0.53500000000000003</v>
      </c>
      <c r="AJ699" s="323">
        <v>0.58499999999999996</v>
      </c>
      <c r="AK699" s="323">
        <v>3.625</v>
      </c>
      <c r="AL699" s="323">
        <v>33.045000000000002</v>
      </c>
      <c r="AM699" s="323">
        <v>5.2947974018328854E-2</v>
      </c>
      <c r="AN699" s="323">
        <v>5.1959665180165128E-2</v>
      </c>
      <c r="AO699" s="323">
        <v>1.4164629086574211E-2</v>
      </c>
      <c r="AP699" s="323">
        <v>1.8043575000454941E-2</v>
      </c>
      <c r="AQ699" s="323">
        <v>0.11455797401832885</v>
      </c>
      <c r="AR699" s="323">
        <v>0.10965966518016514</v>
      </c>
      <c r="AS699" s="323">
        <v>8.1968379086574228E-2</v>
      </c>
      <c r="AT699" s="323">
        <v>9.3010125000454941E-2</v>
      </c>
      <c r="AU699" s="190">
        <v>333952724189221.69</v>
      </c>
      <c r="AV699" s="190">
        <v>327719276451810.44</v>
      </c>
      <c r="AW699" s="190">
        <v>714711610148311</v>
      </c>
      <c r="AX699" s="190">
        <v>910433479238101</v>
      </c>
      <c r="AY699" s="203">
        <v>3.8</v>
      </c>
      <c r="AZ699" s="239">
        <v>104.5</v>
      </c>
      <c r="BB699" s="204">
        <v>43172</v>
      </c>
      <c r="BC699" s="203" t="s">
        <v>2599</v>
      </c>
    </row>
    <row r="700" spans="1:55" x14ac:dyDescent="0.2">
      <c r="A700" s="184" t="s">
        <v>2609</v>
      </c>
      <c r="B700" s="184" t="s">
        <v>2608</v>
      </c>
      <c r="C700" s="184" t="s">
        <v>1052</v>
      </c>
      <c r="D700" s="185" t="s">
        <v>1043</v>
      </c>
      <c r="E700" s="184" t="s">
        <v>2610</v>
      </c>
      <c r="F700" s="184" t="s">
        <v>2611</v>
      </c>
      <c r="G700" s="186">
        <f>IF(ALECA_Input!$F$13="ICAO (3000ft)",'Aircraft Calc'!C$211,'Aircraft Calc'!G$211)</f>
        <v>0.7</v>
      </c>
      <c r="H700" s="186">
        <f>IF(ALECA_Input!$F$13="ICAO (3000ft)",'Aircraft Calc'!D$211,'Aircraft Calc'!H$211)</f>
        <v>2.2000000000000002</v>
      </c>
      <c r="I700" s="186">
        <f>IF(ALECA_Input!$F$13="ICAO (3000ft)",'Aircraft Calc'!E$211,'Aircraft Calc'!I$211)</f>
        <v>4</v>
      </c>
      <c r="J700" s="189">
        <v>1</v>
      </c>
      <c r="K700" s="187">
        <f t="shared" si="181"/>
        <v>216.94499999999999</v>
      </c>
      <c r="L700" s="187">
        <f t="shared" si="182"/>
        <v>3.0194720999999998</v>
      </c>
      <c r="M700" s="187">
        <f t="shared" si="183"/>
        <v>6.4448999999999992E-2</v>
      </c>
      <c r="N700" s="187">
        <f t="shared" si="184"/>
        <v>1.3835567999999998</v>
      </c>
      <c r="O700" s="187">
        <f t="shared" si="185"/>
        <v>2.1359822532059033E-2</v>
      </c>
      <c r="P700" s="188">
        <f t="shared" si="186"/>
        <v>2.1117085894095731E+17</v>
      </c>
      <c r="Q700" s="187">
        <f t="shared" si="187"/>
        <v>6210</v>
      </c>
      <c r="R700" s="219">
        <f t="shared" si="188"/>
        <v>23.597999999999999</v>
      </c>
      <c r="S700" s="219">
        <f t="shared" si="189"/>
        <v>31.360499999999998</v>
      </c>
      <c r="T700" s="219">
        <f t="shared" si="190"/>
        <v>225.11250000000001</v>
      </c>
      <c r="U700" s="219">
        <f t="shared" si="191"/>
        <v>0.59837866593309008</v>
      </c>
      <c r="V700" s="188">
        <f t="shared" si="192"/>
        <v>5088273465687594</v>
      </c>
      <c r="W700" s="323">
        <v>0.96550000000000002</v>
      </c>
      <c r="X700" s="323">
        <v>0.80449999999999999</v>
      </c>
      <c r="Y700" s="323">
        <v>0.29249999999999998</v>
      </c>
      <c r="Z700" s="323">
        <v>0.10349999999999999</v>
      </c>
      <c r="AA700" s="323">
        <v>18.899999999999999</v>
      </c>
      <c r="AB700" s="323">
        <v>15.3</v>
      </c>
      <c r="AC700" s="323">
        <v>8.9499999999999993</v>
      </c>
      <c r="AD700" s="323">
        <v>3.8</v>
      </c>
      <c r="AE700" s="323">
        <v>0.2</v>
      </c>
      <c r="AF700" s="323">
        <v>0.2</v>
      </c>
      <c r="AG700" s="323">
        <v>0.5</v>
      </c>
      <c r="AH700" s="323">
        <v>5.05</v>
      </c>
      <c r="AI700" s="323">
        <v>2</v>
      </c>
      <c r="AJ700" s="323">
        <v>4.2</v>
      </c>
      <c r="AK700" s="323">
        <v>12.2</v>
      </c>
      <c r="AL700" s="323">
        <v>36.25</v>
      </c>
      <c r="AM700" s="323">
        <v>1.6485692449835977E-2</v>
      </c>
      <c r="AN700" s="323">
        <v>1.5571790525445049E-2</v>
      </c>
      <c r="AO700" s="323">
        <v>5.5482286245963353E-2</v>
      </c>
      <c r="AP700" s="323">
        <v>1.6238773097115966E-2</v>
      </c>
      <c r="AQ700" s="323">
        <v>8.8445692449835994E-2</v>
      </c>
      <c r="AR700" s="323">
        <v>7.9731790525445045E-2</v>
      </c>
      <c r="AS700" s="323">
        <v>0.13256728624596331</v>
      </c>
      <c r="AT700" s="323">
        <v>9.6357273097115961E-2</v>
      </c>
      <c r="AU700" s="190">
        <v>103978329782034.81</v>
      </c>
      <c r="AV700" s="190">
        <v>98214180294719.719</v>
      </c>
      <c r="AW700" s="190">
        <v>2799496823757102</v>
      </c>
      <c r="AX700" s="190">
        <v>819367707840192.25</v>
      </c>
      <c r="AY700" s="203">
        <v>3.6</v>
      </c>
      <c r="AZ700" s="239">
        <v>104.5</v>
      </c>
      <c r="BB700" s="204">
        <v>43172</v>
      </c>
      <c r="BC700" s="203" t="s">
        <v>2599</v>
      </c>
    </row>
    <row r="701" spans="1:55" x14ac:dyDescent="0.2">
      <c r="A701" s="184" t="s">
        <v>2613</v>
      </c>
      <c r="B701" s="184" t="s">
        <v>2612</v>
      </c>
      <c r="C701" s="184" t="s">
        <v>715</v>
      </c>
      <c r="D701" s="185" t="s">
        <v>2614</v>
      </c>
      <c r="E701" s="184" t="s">
        <v>2615</v>
      </c>
      <c r="F701" s="184" t="s">
        <v>2616</v>
      </c>
      <c r="G701" s="186">
        <f>IF(ALECA_Input!$F$13="ICAO (3000ft)",'Aircraft Calc'!C$217,'Aircraft Calc'!G$217)</f>
        <v>0.3</v>
      </c>
      <c r="H701" s="186">
        <f>IF(ALECA_Input!$F$13="ICAO (3000ft)",'Aircraft Calc'!D$217,'Aircraft Calc'!H$217)</f>
        <v>5</v>
      </c>
      <c r="I701" s="186">
        <f>IF(ALECA_Input!$F$13="ICAO (3000ft)",'Aircraft Calc'!E$217,'Aircraft Calc'!I$217)</f>
        <v>6</v>
      </c>
      <c r="J701" s="189">
        <v>1</v>
      </c>
      <c r="K701" s="187">
        <f t="shared" si="181"/>
        <v>4.8455999999999992</v>
      </c>
      <c r="L701" s="187">
        <f t="shared" si="182"/>
        <v>1.2463703999999999E-2</v>
      </c>
      <c r="M701" s="187">
        <f t="shared" si="183"/>
        <v>7.4459447999999998E-2</v>
      </c>
      <c r="N701" s="187">
        <f t="shared" si="184"/>
        <v>5.3052098399999998</v>
      </c>
      <c r="O701" s="187">
        <f t="shared" si="185"/>
        <v>5.5340594459999991E-3</v>
      </c>
      <c r="P701" s="188">
        <f t="shared" si="186"/>
        <v>466806266743328.38</v>
      </c>
      <c r="Q701" s="187">
        <f t="shared" si="187"/>
        <v>72</v>
      </c>
      <c r="R701" s="219">
        <f t="shared" si="188"/>
        <v>3.7440000000000001E-2</v>
      </c>
      <c r="S701" s="219">
        <f t="shared" si="189"/>
        <v>2.6582399999999997</v>
      </c>
      <c r="T701" s="219">
        <f t="shared" si="190"/>
        <v>77.543999999999997</v>
      </c>
      <c r="U701" s="219">
        <f t="shared" si="191"/>
        <v>2.5326460799999999E-2</v>
      </c>
      <c r="V701" s="188">
        <f t="shared" si="192"/>
        <v>20808666080417.754</v>
      </c>
      <c r="W701" s="323">
        <v>1.12E-2</v>
      </c>
      <c r="X701" s="323">
        <v>8.3999999999999995E-3</v>
      </c>
      <c r="Y701" s="323">
        <v>5.8999999999999999E-3</v>
      </c>
      <c r="Z701" s="323">
        <v>1.1999999999999999E-3</v>
      </c>
      <c r="AA701" s="323">
        <v>2.19</v>
      </c>
      <c r="AB701" s="323">
        <v>3.97</v>
      </c>
      <c r="AC701" s="323">
        <v>0.95000000000000007</v>
      </c>
      <c r="AD701" s="323">
        <v>0.52</v>
      </c>
      <c r="AE701" s="323">
        <v>11.78</v>
      </c>
      <c r="AF701" s="323">
        <v>12.38</v>
      </c>
      <c r="AG701" s="323">
        <v>19.25</v>
      </c>
      <c r="AH701" s="323">
        <v>36.92</v>
      </c>
      <c r="AI701" s="323">
        <v>1077.4000000000001</v>
      </c>
      <c r="AJ701" s="323">
        <v>989.5</v>
      </c>
      <c r="AK701" s="323">
        <v>1221.5</v>
      </c>
      <c r="AL701" s="323">
        <v>1077</v>
      </c>
      <c r="AM701" s="323">
        <v>0.11</v>
      </c>
      <c r="AN701" s="323">
        <v>8.4000000000000005E-2</v>
      </c>
      <c r="AO701" s="323">
        <v>5.6000000000000001E-2</v>
      </c>
      <c r="AP701" s="323">
        <v>7.4999999999999997E-2</v>
      </c>
      <c r="AQ701" s="323">
        <v>1.51366</v>
      </c>
      <c r="AR701" s="323">
        <v>1.0738399999999999</v>
      </c>
      <c r="AS701" s="323">
        <v>1.1877724999999999</v>
      </c>
      <c r="AT701" s="323">
        <v>0.35175640000000002</v>
      </c>
      <c r="AU701" s="190">
        <v>199438848553106.91</v>
      </c>
      <c r="AV701" s="190">
        <v>152298757076918</v>
      </c>
      <c r="AW701" s="190">
        <v>20153732128619.93</v>
      </c>
      <c r="AX701" s="190">
        <v>289009251116913.25</v>
      </c>
      <c r="AY701" s="203">
        <v>0.2</v>
      </c>
      <c r="BB701" s="204">
        <v>37449</v>
      </c>
      <c r="BC701" s="203" t="s">
        <v>2616</v>
      </c>
    </row>
    <row r="702" spans="1:55" x14ac:dyDescent="0.2">
      <c r="A702" s="184" t="s">
        <v>341</v>
      </c>
      <c r="B702" s="184" t="s">
        <v>2617</v>
      </c>
      <c r="C702" s="184" t="s">
        <v>715</v>
      </c>
      <c r="D702" s="185" t="s">
        <v>2614</v>
      </c>
      <c r="E702" s="184" t="s">
        <v>2618</v>
      </c>
      <c r="F702" s="184" t="s">
        <v>2619</v>
      </c>
      <c r="G702" s="186">
        <f>IF(ALECA_Input!$F$13="ICAO (3000ft)",'Aircraft Calc'!C$217,'Aircraft Calc'!G$217)</f>
        <v>0.3</v>
      </c>
      <c r="H702" s="186">
        <f>IF(ALECA_Input!$F$13="ICAO (3000ft)",'Aircraft Calc'!D$217,'Aircraft Calc'!H$217)</f>
        <v>5</v>
      </c>
      <c r="I702" s="186">
        <f>IF(ALECA_Input!$F$13="ICAO (3000ft)",'Aircraft Calc'!E$217,'Aircraft Calc'!I$217)</f>
        <v>6</v>
      </c>
      <c r="J702" s="189">
        <v>1</v>
      </c>
      <c r="K702" s="187">
        <f t="shared" si="181"/>
        <v>6.8243999999999998</v>
      </c>
      <c r="L702" s="187">
        <f t="shared" si="182"/>
        <v>2.7469944000000003E-2</v>
      </c>
      <c r="M702" s="187">
        <f t="shared" si="183"/>
        <v>6.9936828000000006E-2</v>
      </c>
      <c r="N702" s="187">
        <f t="shared" si="184"/>
        <v>6.6886140000000012</v>
      </c>
      <c r="O702" s="187">
        <f t="shared" si="185"/>
        <v>5.6417762939999999E-3</v>
      </c>
      <c r="P702" s="188">
        <f t="shared" si="186"/>
        <v>687296792301436.5</v>
      </c>
      <c r="Q702" s="187">
        <f t="shared" si="187"/>
        <v>84</v>
      </c>
      <c r="R702" s="219">
        <f t="shared" si="188"/>
        <v>0.16044000000000003</v>
      </c>
      <c r="S702" s="219">
        <f t="shared" si="189"/>
        <v>11.61384</v>
      </c>
      <c r="T702" s="219">
        <f t="shared" si="190"/>
        <v>49.744800000000005</v>
      </c>
      <c r="U702" s="219">
        <f t="shared" si="191"/>
        <v>8.2070032800000012E-2</v>
      </c>
      <c r="V702" s="188">
        <f t="shared" si="192"/>
        <v>24276777093820.715</v>
      </c>
      <c r="W702" s="323">
        <v>1.6799999999999999E-2</v>
      </c>
      <c r="X702" s="323">
        <v>1.2500000000000001E-2</v>
      </c>
      <c r="Y702" s="323">
        <v>7.7000000000000002E-3</v>
      </c>
      <c r="Z702" s="323">
        <v>1.4E-3</v>
      </c>
      <c r="AA702" s="323">
        <v>2.71</v>
      </c>
      <c r="AB702" s="323">
        <v>4.32</v>
      </c>
      <c r="AC702" s="323">
        <v>3.77</v>
      </c>
      <c r="AD702" s="323">
        <v>1.9100000000000001</v>
      </c>
      <c r="AE702" s="323">
        <v>9.17</v>
      </c>
      <c r="AF702" s="323">
        <v>9.5500000000000007</v>
      </c>
      <c r="AG702" s="323">
        <v>11.31</v>
      </c>
      <c r="AH702" s="323">
        <v>138.26</v>
      </c>
      <c r="AI702" s="323">
        <v>1082</v>
      </c>
      <c r="AJ702" s="323">
        <v>960.80000000000007</v>
      </c>
      <c r="AK702" s="323">
        <v>995.1</v>
      </c>
      <c r="AL702" s="323">
        <v>592.20000000000005</v>
      </c>
      <c r="AM702" s="323">
        <v>0.11</v>
      </c>
      <c r="AN702" s="323">
        <v>8.4000000000000005E-2</v>
      </c>
      <c r="AO702" s="323">
        <v>5.6000000000000001E-2</v>
      </c>
      <c r="AP702" s="323">
        <v>7.4999999999999997E-2</v>
      </c>
      <c r="AQ702" s="323">
        <v>1.2135100000000001</v>
      </c>
      <c r="AR702" s="323">
        <v>0.85875999999999997</v>
      </c>
      <c r="AS702" s="323">
        <v>0.74114749999999996</v>
      </c>
      <c r="AT702" s="323">
        <v>0.97702420000000001</v>
      </c>
      <c r="AU702" s="190">
        <v>199438848553106.91</v>
      </c>
      <c r="AV702" s="190">
        <v>152298757076918</v>
      </c>
      <c r="AW702" s="190">
        <v>20153732128619.93</v>
      </c>
      <c r="AX702" s="190">
        <v>289009251116913.25</v>
      </c>
      <c r="AY702" s="203">
        <v>0.4</v>
      </c>
      <c r="BB702" s="204">
        <v>37449</v>
      </c>
      <c r="BC702" s="203" t="s">
        <v>2619</v>
      </c>
    </row>
    <row r="703" spans="1:55" x14ac:dyDescent="0.2">
      <c r="A703" s="184" t="s">
        <v>2621</v>
      </c>
      <c r="B703" s="184" t="s">
        <v>2620</v>
      </c>
      <c r="C703" s="184" t="s">
        <v>715</v>
      </c>
      <c r="D703" s="185" t="s">
        <v>2614</v>
      </c>
      <c r="E703" s="184" t="s">
        <v>2622</v>
      </c>
      <c r="F703" s="184" t="s">
        <v>2623</v>
      </c>
      <c r="G703" s="186">
        <f>IF(ALECA_Input!$F$13="ICAO (3000ft)",'Aircraft Calc'!C$217,'Aircraft Calc'!G$217)</f>
        <v>0.3</v>
      </c>
      <c r="H703" s="186">
        <f>IF(ALECA_Input!$F$13="ICAO (3000ft)",'Aircraft Calc'!D$217,'Aircraft Calc'!H$217)</f>
        <v>5</v>
      </c>
      <c r="I703" s="186">
        <f>IF(ALECA_Input!$F$13="ICAO (3000ft)",'Aircraft Calc'!E$217,'Aircraft Calc'!I$217)</f>
        <v>6</v>
      </c>
      <c r="J703" s="189">
        <v>1</v>
      </c>
      <c r="K703" s="187">
        <f t="shared" si="181"/>
        <v>12.828600000000002</v>
      </c>
      <c r="L703" s="187">
        <f t="shared" si="182"/>
        <v>8.3244960000000024E-3</v>
      </c>
      <c r="M703" s="187">
        <f t="shared" si="183"/>
        <v>0.196201296</v>
      </c>
      <c r="N703" s="187">
        <f t="shared" si="184"/>
        <v>17.910786060000003</v>
      </c>
      <c r="O703" s="187">
        <f t="shared" si="185"/>
        <v>2.3720313996000001E-2</v>
      </c>
      <c r="P703" s="188">
        <f t="shared" si="186"/>
        <v>1.2812231449799708E+16</v>
      </c>
      <c r="Q703" s="187">
        <f t="shared" si="187"/>
        <v>192</v>
      </c>
      <c r="R703" s="219">
        <f t="shared" si="188"/>
        <v>7.4879999999999999E-3</v>
      </c>
      <c r="S703" s="219">
        <f t="shared" si="189"/>
        <v>13.07136</v>
      </c>
      <c r="T703" s="219">
        <f t="shared" si="190"/>
        <v>248.39040000000003</v>
      </c>
      <c r="U703" s="219">
        <f t="shared" si="191"/>
        <v>0.23405061120000001</v>
      </c>
      <c r="V703" s="188">
        <f t="shared" si="192"/>
        <v>554897762144473.38</v>
      </c>
      <c r="W703" s="323">
        <v>3.27E-2</v>
      </c>
      <c r="X703" s="323">
        <v>2.58E-2</v>
      </c>
      <c r="Y703" s="323">
        <v>1.2500000000000001E-2</v>
      </c>
      <c r="Z703" s="323">
        <v>3.2000000000000002E-3</v>
      </c>
      <c r="AA703" s="323">
        <v>0.36</v>
      </c>
      <c r="AB703" s="323">
        <v>0.24</v>
      </c>
      <c r="AC703" s="323">
        <v>1.3900000000000001</v>
      </c>
      <c r="AD703" s="323">
        <v>3.9E-2</v>
      </c>
      <c r="AE703" s="323">
        <v>12.36</v>
      </c>
      <c r="AF703" s="323">
        <v>16.63</v>
      </c>
      <c r="AG703" s="323">
        <v>13.38</v>
      </c>
      <c r="AH703" s="323">
        <v>68.08</v>
      </c>
      <c r="AI703" s="323">
        <v>1442.1</v>
      </c>
      <c r="AJ703" s="323">
        <v>1470.9</v>
      </c>
      <c r="AK703" s="323">
        <v>1261.5999999999999</v>
      </c>
      <c r="AL703" s="323">
        <v>1293.7</v>
      </c>
      <c r="AM703" s="323">
        <v>0.11</v>
      </c>
      <c r="AN703" s="323">
        <v>0.84</v>
      </c>
      <c r="AO703" s="323">
        <v>0.56000000000000005</v>
      </c>
      <c r="AP703" s="323">
        <v>0.75</v>
      </c>
      <c r="AQ703" s="323">
        <v>1.58036</v>
      </c>
      <c r="AR703" s="323">
        <v>2.1528399999999999</v>
      </c>
      <c r="AS703" s="323">
        <v>1.361585</v>
      </c>
      <c r="AT703" s="323">
        <v>1.2190136</v>
      </c>
      <c r="AU703" s="190">
        <v>199438848553106.91</v>
      </c>
      <c r="AV703" s="190">
        <v>1522987570769180</v>
      </c>
      <c r="AW703" s="190">
        <v>201537321286199.28</v>
      </c>
      <c r="AX703" s="190">
        <v>2890092511169132</v>
      </c>
      <c r="AY703" s="203">
        <v>0.4</v>
      </c>
      <c r="BB703" s="204">
        <v>37449</v>
      </c>
      <c r="BC703" s="203" t="s">
        <v>2623</v>
      </c>
    </row>
    <row r="704" spans="1:55" x14ac:dyDescent="0.2">
      <c r="A704" s="184" t="s">
        <v>711</v>
      </c>
      <c r="B704" s="184" t="s">
        <v>2624</v>
      </c>
      <c r="C704" s="184" t="s">
        <v>715</v>
      </c>
      <c r="D704" s="185" t="s">
        <v>2614</v>
      </c>
      <c r="E704" s="184" t="s">
        <v>2625</v>
      </c>
      <c r="F704" s="184" t="s">
        <v>2626</v>
      </c>
      <c r="G704" s="186">
        <f>IF(ALECA_Input!$F$13="ICAO (3000ft)",'Aircraft Calc'!C$217,'Aircraft Calc'!G$217)</f>
        <v>0.3</v>
      </c>
      <c r="H704" s="186">
        <f>IF(ALECA_Input!$F$13="ICAO (3000ft)",'Aircraft Calc'!D$217,'Aircraft Calc'!H$217)</f>
        <v>5</v>
      </c>
      <c r="I704" s="186">
        <f>IF(ALECA_Input!$F$13="ICAO (3000ft)",'Aircraft Calc'!E$217,'Aircraft Calc'!I$217)</f>
        <v>6</v>
      </c>
      <c r="J704" s="189">
        <v>1</v>
      </c>
      <c r="K704" s="187">
        <f t="shared" si="181"/>
        <v>25.427399999999999</v>
      </c>
      <c r="L704" s="187">
        <f t="shared" si="182"/>
        <v>0.29140320000000003</v>
      </c>
      <c r="M704" s="187">
        <f t="shared" si="183"/>
        <v>0.334978308</v>
      </c>
      <c r="N704" s="187">
        <f t="shared" si="184"/>
        <v>16.874888333999998</v>
      </c>
      <c r="O704" s="187">
        <f t="shared" si="185"/>
        <v>2.8365387263999998E-2</v>
      </c>
      <c r="P704" s="188">
        <f t="shared" si="186"/>
        <v>4134921528760824.5</v>
      </c>
      <c r="Q704" s="187">
        <f t="shared" si="187"/>
        <v>60</v>
      </c>
      <c r="R704" s="219">
        <f t="shared" si="188"/>
        <v>5.9399999999999994E-2</v>
      </c>
      <c r="S704" s="219">
        <f t="shared" si="189"/>
        <v>2.2163999999999997</v>
      </c>
      <c r="T704" s="219">
        <f t="shared" si="190"/>
        <v>77.64</v>
      </c>
      <c r="U704" s="219">
        <f t="shared" si="191"/>
        <v>2.5612787999999997E-2</v>
      </c>
      <c r="V704" s="188">
        <f t="shared" si="192"/>
        <v>34681110134029.59</v>
      </c>
      <c r="W704" s="323">
        <v>0.2243</v>
      </c>
      <c r="X704" s="323">
        <v>4.4900000000000002E-2</v>
      </c>
      <c r="Y704" s="323">
        <v>2.1999999999999999E-2</v>
      </c>
      <c r="Z704" s="323">
        <v>1E-3</v>
      </c>
      <c r="AA704" s="323">
        <v>22</v>
      </c>
      <c r="AB704" s="323">
        <v>13.64</v>
      </c>
      <c r="AC704" s="323">
        <v>2.38</v>
      </c>
      <c r="AD704" s="323">
        <v>0.99</v>
      </c>
      <c r="AE704" s="323">
        <v>3.22</v>
      </c>
      <c r="AF704" s="323">
        <v>16.332000000000001</v>
      </c>
      <c r="AG704" s="323">
        <v>12.877000000000001</v>
      </c>
      <c r="AH704" s="323">
        <v>36.94</v>
      </c>
      <c r="AI704" s="323">
        <v>35.910000000000004</v>
      </c>
      <c r="AJ704" s="323">
        <v>499.99</v>
      </c>
      <c r="AK704" s="323">
        <v>1262</v>
      </c>
      <c r="AL704" s="323">
        <v>1294</v>
      </c>
      <c r="AM704" s="323">
        <v>0.11</v>
      </c>
      <c r="AN704" s="323">
        <v>0.12</v>
      </c>
      <c r="AO704" s="323">
        <v>0.14000000000000001</v>
      </c>
      <c r="AP704" s="323">
        <v>0.15</v>
      </c>
      <c r="AQ704" s="323">
        <v>0.52925999999999995</v>
      </c>
      <c r="AR704" s="323">
        <v>1.4101919999999999</v>
      </c>
      <c r="AS704" s="323">
        <v>0.91329125</v>
      </c>
      <c r="AT704" s="323">
        <v>0.42687979999999998</v>
      </c>
      <c r="AU704" s="190">
        <v>199438848553106.91</v>
      </c>
      <c r="AV704" s="190">
        <v>217569652967025.72</v>
      </c>
      <c r="AW704" s="190">
        <v>50384330321549.82</v>
      </c>
      <c r="AX704" s="190">
        <v>578018502233826.5</v>
      </c>
      <c r="AY704" s="203">
        <v>0.5</v>
      </c>
      <c r="BB704" s="204">
        <v>35684</v>
      </c>
      <c r="BC704" s="203" t="s">
        <v>2626</v>
      </c>
    </row>
    <row r="705" spans="1:55" x14ac:dyDescent="0.2">
      <c r="A705" s="184" t="s">
        <v>2628</v>
      </c>
      <c r="B705" s="184" t="s">
        <v>2627</v>
      </c>
      <c r="C705" s="184" t="s">
        <v>2631</v>
      </c>
      <c r="D705" s="185" t="s">
        <v>2614</v>
      </c>
      <c r="E705" s="184" t="s">
        <v>2629</v>
      </c>
      <c r="F705" s="184" t="s">
        <v>2630</v>
      </c>
      <c r="G705" s="186">
        <f>IF(ALECA_Input!$F$13="ICAO (3000ft)",'Aircraft Calc'!C$217,'Aircraft Calc'!G$217)</f>
        <v>0.3</v>
      </c>
      <c r="H705" s="186">
        <f>IF(ALECA_Input!$F$13="ICAO (3000ft)",'Aircraft Calc'!D$217,'Aircraft Calc'!H$217)</f>
        <v>5</v>
      </c>
      <c r="I705" s="186">
        <f>IF(ALECA_Input!$F$13="ICAO (3000ft)",'Aircraft Calc'!E$217,'Aircraft Calc'!I$217)</f>
        <v>6</v>
      </c>
      <c r="J705" s="189">
        <v>1</v>
      </c>
      <c r="K705" s="187">
        <f t="shared" si="181"/>
        <v>2.9645999999999999</v>
      </c>
      <c r="L705" s="187">
        <f t="shared" si="182"/>
        <v>1.0140642000000002E-2</v>
      </c>
      <c r="M705" s="187">
        <f t="shared" si="183"/>
        <v>7.5989645999999994E-2</v>
      </c>
      <c r="N705" s="187">
        <f t="shared" si="184"/>
        <v>3.13399926</v>
      </c>
      <c r="O705" s="187">
        <f t="shared" si="185"/>
        <v>5.467245606000001E-3</v>
      </c>
      <c r="P705" s="188">
        <f t="shared" si="186"/>
        <v>304110399875248.75</v>
      </c>
      <c r="Q705" s="187">
        <f t="shared" si="187"/>
        <v>60</v>
      </c>
      <c r="R705" s="219">
        <f t="shared" si="188"/>
        <v>9.4799999999999995E-2</v>
      </c>
      <c r="S705" s="219">
        <f t="shared" si="189"/>
        <v>1.74</v>
      </c>
      <c r="T705" s="219">
        <f t="shared" si="190"/>
        <v>38.663999999999994</v>
      </c>
      <c r="U705" s="219">
        <f t="shared" si="191"/>
        <v>1.8173399999999999E-2</v>
      </c>
      <c r="V705" s="188">
        <f t="shared" si="192"/>
        <v>17340555067014.795</v>
      </c>
      <c r="W705" s="323">
        <v>5.7000000000000002E-3</v>
      </c>
      <c r="X705" s="323">
        <v>5.7000000000000002E-3</v>
      </c>
      <c r="Y705" s="323">
        <v>3.2000000000000002E-3</v>
      </c>
      <c r="Z705" s="323">
        <v>1E-3</v>
      </c>
      <c r="AA705" s="323">
        <v>4.87</v>
      </c>
      <c r="AB705" s="323">
        <v>4.87</v>
      </c>
      <c r="AC705" s="323">
        <v>1.1400000000000001</v>
      </c>
      <c r="AD705" s="323">
        <v>1.58</v>
      </c>
      <c r="AE705" s="323">
        <v>20.81</v>
      </c>
      <c r="AF705" s="323">
        <v>20.81</v>
      </c>
      <c r="AG705" s="323">
        <v>33.22</v>
      </c>
      <c r="AH705" s="323">
        <v>29</v>
      </c>
      <c r="AI705" s="323">
        <v>974.1</v>
      </c>
      <c r="AJ705" s="323">
        <v>974.1</v>
      </c>
      <c r="AK705" s="323">
        <v>1187.8</v>
      </c>
      <c r="AL705" s="323">
        <v>644.4</v>
      </c>
      <c r="AM705" s="323">
        <v>0.11</v>
      </c>
      <c r="AN705" s="323">
        <v>8.4000000000000005E-2</v>
      </c>
      <c r="AO705" s="323">
        <v>5.6000000000000001E-2</v>
      </c>
      <c r="AP705" s="323">
        <v>7.4999999999999997E-2</v>
      </c>
      <c r="AQ705" s="323">
        <v>2.5521099999999999</v>
      </c>
      <c r="AR705" s="323">
        <v>1.71452</v>
      </c>
      <c r="AS705" s="323">
        <v>1.9735849999999999</v>
      </c>
      <c r="AT705" s="323">
        <v>0.30288999999999999</v>
      </c>
      <c r="AU705" s="190">
        <v>199438848553106.91</v>
      </c>
      <c r="AV705" s="190">
        <v>152298757076918</v>
      </c>
      <c r="AW705" s="190">
        <v>20153732128619.93</v>
      </c>
      <c r="AX705" s="190">
        <v>289009251116913.25</v>
      </c>
      <c r="AY705" s="203">
        <v>0.2</v>
      </c>
      <c r="BB705" s="204">
        <v>37449</v>
      </c>
      <c r="BC705" s="203" t="s">
        <v>716</v>
      </c>
    </row>
    <row r="706" spans="1:55" x14ac:dyDescent="0.2">
      <c r="A706" s="184" t="s">
        <v>2613</v>
      </c>
      <c r="B706" s="184" t="s">
        <v>2632</v>
      </c>
      <c r="C706" s="184" t="s">
        <v>1008</v>
      </c>
      <c r="D706" s="185" t="s">
        <v>2614</v>
      </c>
      <c r="E706" s="184" t="s">
        <v>2633</v>
      </c>
      <c r="F706" s="184" t="s">
        <v>3222</v>
      </c>
      <c r="G706" s="186">
        <f>IF(ALECA_Input!$F$13="ICAO (3000ft)",'Aircraft Calc'!C$217,'Aircraft Calc'!G$217)</f>
        <v>0.3</v>
      </c>
      <c r="H706" s="186">
        <f>IF(ALECA_Input!$F$13="ICAO (3000ft)",'Aircraft Calc'!D$217,'Aircraft Calc'!H$217)</f>
        <v>5</v>
      </c>
      <c r="I706" s="186">
        <f>IF(ALECA_Input!$F$13="ICAO (3000ft)",'Aircraft Calc'!E$217,'Aircraft Calc'!I$217)</f>
        <v>6</v>
      </c>
      <c r="J706" s="189">
        <v>1</v>
      </c>
      <c r="K706" s="187">
        <f t="shared" si="181"/>
        <v>4.8455999999999992</v>
      </c>
      <c r="L706" s="187">
        <f t="shared" si="182"/>
        <v>1.2463703999999999E-2</v>
      </c>
      <c r="M706" s="187">
        <f t="shared" si="183"/>
        <v>7.4459447999999998E-2</v>
      </c>
      <c r="N706" s="187">
        <f t="shared" si="184"/>
        <v>5.3052098399999998</v>
      </c>
      <c r="O706" s="187">
        <f t="shared" si="185"/>
        <v>5.5340594459999991E-3</v>
      </c>
      <c r="P706" s="188">
        <f t="shared" si="186"/>
        <v>466806266743328.38</v>
      </c>
      <c r="Q706" s="187">
        <f t="shared" si="187"/>
        <v>72</v>
      </c>
      <c r="R706" s="219">
        <f t="shared" si="188"/>
        <v>3.7440000000000001E-2</v>
      </c>
      <c r="S706" s="219">
        <f t="shared" si="189"/>
        <v>2.6582399999999997</v>
      </c>
      <c r="T706" s="219">
        <f t="shared" si="190"/>
        <v>77.543999999999997</v>
      </c>
      <c r="U706" s="219">
        <f t="shared" si="191"/>
        <v>2.5326460799999999E-2</v>
      </c>
      <c r="V706" s="188">
        <f t="shared" si="192"/>
        <v>20808666080417.754</v>
      </c>
      <c r="W706" s="323">
        <v>1.12E-2</v>
      </c>
      <c r="X706" s="323">
        <v>8.3999999999999995E-3</v>
      </c>
      <c r="Y706" s="323">
        <v>5.8999999999999999E-3</v>
      </c>
      <c r="Z706" s="323">
        <v>1.1999999999999999E-3</v>
      </c>
      <c r="AA706" s="323">
        <v>2.19</v>
      </c>
      <c r="AB706" s="323">
        <v>3.97</v>
      </c>
      <c r="AC706" s="323">
        <v>0.95000000000000007</v>
      </c>
      <c r="AD706" s="323">
        <v>0.52</v>
      </c>
      <c r="AE706" s="323">
        <v>11.78</v>
      </c>
      <c r="AF706" s="323">
        <v>12.38</v>
      </c>
      <c r="AG706" s="323">
        <v>19.25</v>
      </c>
      <c r="AH706" s="323">
        <v>36.92</v>
      </c>
      <c r="AI706" s="323">
        <v>1077.4000000000001</v>
      </c>
      <c r="AJ706" s="323">
        <v>989.5</v>
      </c>
      <c r="AK706" s="323">
        <v>1221.5</v>
      </c>
      <c r="AL706" s="323">
        <v>1077</v>
      </c>
      <c r="AM706" s="323">
        <v>0.11</v>
      </c>
      <c r="AN706" s="323">
        <v>8.4000000000000005E-2</v>
      </c>
      <c r="AO706" s="323">
        <v>5.6000000000000001E-2</v>
      </c>
      <c r="AP706" s="323">
        <v>7.4999999999999997E-2</v>
      </c>
      <c r="AQ706" s="323">
        <v>1.51366</v>
      </c>
      <c r="AR706" s="323">
        <v>1.0738399999999999</v>
      </c>
      <c r="AS706" s="323">
        <v>1.1877724999999999</v>
      </c>
      <c r="AT706" s="323">
        <v>0.35175640000000002</v>
      </c>
      <c r="AU706" s="190">
        <v>199438848553106.91</v>
      </c>
      <c r="AV706" s="190">
        <v>152298757076918</v>
      </c>
      <c r="AW706" s="190">
        <v>20153732128619.93</v>
      </c>
      <c r="AX706" s="190">
        <v>289009251116913.25</v>
      </c>
      <c r="AY706" s="203">
        <v>0.2</v>
      </c>
      <c r="BB706" s="204">
        <v>37449</v>
      </c>
      <c r="BC706" s="203" t="s">
        <v>3223</v>
      </c>
    </row>
    <row r="707" spans="1:55" x14ac:dyDescent="0.2">
      <c r="A707" s="184" t="s">
        <v>2635</v>
      </c>
      <c r="B707" s="184" t="s">
        <v>2634</v>
      </c>
      <c r="C707" s="184" t="s">
        <v>1008</v>
      </c>
      <c r="D707" s="185" t="s">
        <v>2614</v>
      </c>
      <c r="E707" s="184" t="s">
        <v>2636</v>
      </c>
      <c r="F707" s="184" t="s">
        <v>2637</v>
      </c>
      <c r="G707" s="186">
        <f>IF(ALECA_Input!$F$13="ICAO (3000ft)",'Aircraft Calc'!C$217,'Aircraft Calc'!G$217)</f>
        <v>0.3</v>
      </c>
      <c r="H707" s="186">
        <f>IF(ALECA_Input!$F$13="ICAO (3000ft)",'Aircraft Calc'!D$217,'Aircraft Calc'!H$217)</f>
        <v>5</v>
      </c>
      <c r="I707" s="186">
        <f>IF(ALECA_Input!$F$13="ICAO (3000ft)",'Aircraft Calc'!E$217,'Aircraft Calc'!I$217)</f>
        <v>6</v>
      </c>
      <c r="J707" s="189">
        <v>1</v>
      </c>
      <c r="K707" s="187">
        <f t="shared" si="181"/>
        <v>4.2108000000000008</v>
      </c>
      <c r="L707" s="187">
        <f t="shared" si="182"/>
        <v>1.9068816000000002E-2</v>
      </c>
      <c r="M707" s="187">
        <f t="shared" si="183"/>
        <v>4.5150516000000002E-2</v>
      </c>
      <c r="N707" s="187">
        <f t="shared" si="184"/>
        <v>3.8984498400000001</v>
      </c>
      <c r="O707" s="187">
        <f t="shared" si="185"/>
        <v>3.6343337580000004E-3</v>
      </c>
      <c r="P707" s="188">
        <f t="shared" si="186"/>
        <v>427553075187194.19</v>
      </c>
      <c r="Q707" s="187">
        <f t="shared" si="187"/>
        <v>60</v>
      </c>
      <c r="R707" s="219">
        <f t="shared" si="188"/>
        <v>6.9000000000000006E-2</v>
      </c>
      <c r="S707" s="219">
        <f t="shared" si="189"/>
        <v>2.1659999999999999</v>
      </c>
      <c r="T707" s="219">
        <f t="shared" si="190"/>
        <v>37.193999999999996</v>
      </c>
      <c r="U707" s="219">
        <f t="shared" si="191"/>
        <v>2.0801819999999999E-2</v>
      </c>
      <c r="V707" s="188">
        <f t="shared" si="192"/>
        <v>17340555067014.795</v>
      </c>
      <c r="W707" s="323">
        <v>1.1599999999999999E-2</v>
      </c>
      <c r="X707" s="323">
        <v>7.7000000000000002E-3</v>
      </c>
      <c r="Y707" s="323">
        <v>4.7000000000000002E-3</v>
      </c>
      <c r="Z707" s="323">
        <v>1E-3</v>
      </c>
      <c r="AA707" s="323">
        <v>1.82</v>
      </c>
      <c r="AB707" s="323">
        <v>5.6000000000000005</v>
      </c>
      <c r="AC707" s="323">
        <v>3.4</v>
      </c>
      <c r="AD707" s="323">
        <v>1.1500000000000001</v>
      </c>
      <c r="AE707" s="323">
        <v>11.42</v>
      </c>
      <c r="AF707" s="323">
        <v>9.57</v>
      </c>
      <c r="AG707" s="323">
        <v>12.21</v>
      </c>
      <c r="AH707" s="323">
        <v>36.1</v>
      </c>
      <c r="AI707" s="323">
        <v>1192.3</v>
      </c>
      <c r="AJ707" s="323">
        <v>888.2</v>
      </c>
      <c r="AK707" s="323">
        <v>944.30000000000007</v>
      </c>
      <c r="AL707" s="323">
        <v>619.9</v>
      </c>
      <c r="AM707" s="323">
        <v>0.11</v>
      </c>
      <c r="AN707" s="323">
        <v>8.4000000000000005E-2</v>
      </c>
      <c r="AO707" s="323">
        <v>5.6000000000000001E-2</v>
      </c>
      <c r="AP707" s="323">
        <v>7.4999999999999997E-2</v>
      </c>
      <c r="AQ707" s="323">
        <v>1.4722599999999999</v>
      </c>
      <c r="AR707" s="323">
        <v>0.86028000000000004</v>
      </c>
      <c r="AS707" s="323">
        <v>0.79177249999999999</v>
      </c>
      <c r="AT707" s="323">
        <v>0.34669699999999998</v>
      </c>
      <c r="AU707" s="190">
        <v>199438848553106.91</v>
      </c>
      <c r="AV707" s="190">
        <v>152298757076918</v>
      </c>
      <c r="AW707" s="190">
        <v>20153732128619.93</v>
      </c>
      <c r="AX707" s="190">
        <v>289009251116913.25</v>
      </c>
      <c r="AY707" s="203">
        <v>0.2</v>
      </c>
      <c r="BB707" s="204">
        <v>37547</v>
      </c>
      <c r="BC707" s="203" t="s">
        <v>716</v>
      </c>
    </row>
    <row r="708" spans="1:55" x14ac:dyDescent="0.2">
      <c r="A708" s="184" t="s">
        <v>2639</v>
      </c>
      <c r="B708" s="184" t="s">
        <v>2638</v>
      </c>
      <c r="C708" s="184" t="s">
        <v>1008</v>
      </c>
      <c r="D708" s="185" t="s">
        <v>2614</v>
      </c>
      <c r="E708" s="184" t="s">
        <v>2640</v>
      </c>
      <c r="F708" s="184" t="s">
        <v>2641</v>
      </c>
      <c r="G708" s="186">
        <f>IF(ALECA_Input!$F$13="ICAO (3000ft)",'Aircraft Calc'!C$217,'Aircraft Calc'!G$217)</f>
        <v>0.3</v>
      </c>
      <c r="H708" s="186">
        <f>IF(ALECA_Input!$F$13="ICAO (3000ft)",'Aircraft Calc'!D$217,'Aircraft Calc'!H$217)</f>
        <v>5</v>
      </c>
      <c r="I708" s="186">
        <f>IF(ALECA_Input!$F$13="ICAO (3000ft)",'Aircraft Calc'!E$217,'Aircraft Calc'!I$217)</f>
        <v>6</v>
      </c>
      <c r="J708" s="189">
        <v>1</v>
      </c>
      <c r="K708" s="187">
        <f t="shared" si="181"/>
        <v>4.59</v>
      </c>
      <c r="L708" s="187">
        <f t="shared" si="182"/>
        <v>2.9683619999999997E-2</v>
      </c>
      <c r="M708" s="187">
        <f t="shared" si="183"/>
        <v>4.0435199999999998E-2</v>
      </c>
      <c r="N708" s="187">
        <f t="shared" si="184"/>
        <v>4.0802687999999998</v>
      </c>
      <c r="O708" s="187">
        <f t="shared" si="185"/>
        <v>4.9047533999999997E-3</v>
      </c>
      <c r="P708" s="188">
        <f t="shared" si="186"/>
        <v>1638727071645798.3</v>
      </c>
      <c r="Q708" s="187">
        <f t="shared" si="187"/>
        <v>60</v>
      </c>
      <c r="R708" s="219">
        <f t="shared" si="188"/>
        <v>6.9599999999999995E-2</v>
      </c>
      <c r="S708" s="219">
        <f t="shared" si="189"/>
        <v>2.952</v>
      </c>
      <c r="T708" s="219">
        <f t="shared" si="190"/>
        <v>53.843999999999994</v>
      </c>
      <c r="U708" s="219">
        <f t="shared" si="191"/>
        <v>3.0151439999999998E-2</v>
      </c>
      <c r="V708" s="188">
        <f t="shared" si="192"/>
        <v>34681110134029.59</v>
      </c>
      <c r="W708" s="323">
        <v>1.2999999999999999E-2</v>
      </c>
      <c r="X708" s="323">
        <v>8.9999999999999993E-3</v>
      </c>
      <c r="Y708" s="323">
        <v>4.5999999999999999E-3</v>
      </c>
      <c r="Z708" s="323">
        <v>1E-3</v>
      </c>
      <c r="AA708" s="323">
        <v>1.99</v>
      </c>
      <c r="AB708" s="323">
        <v>4.59</v>
      </c>
      <c r="AC708" s="323">
        <v>10.16</v>
      </c>
      <c r="AD708" s="323">
        <v>1.1599999999999999</v>
      </c>
      <c r="AE708" s="323">
        <v>10</v>
      </c>
      <c r="AF708" s="323">
        <v>8.16</v>
      </c>
      <c r="AG708" s="323">
        <v>9.7000000000000011</v>
      </c>
      <c r="AH708" s="323">
        <v>49.2</v>
      </c>
      <c r="AI708" s="323">
        <v>1199</v>
      </c>
      <c r="AJ708" s="323">
        <v>983.30000000000007</v>
      </c>
      <c r="AK708" s="323">
        <v>691.30000000000007</v>
      </c>
      <c r="AL708" s="323">
        <v>897.4</v>
      </c>
      <c r="AM708" s="323">
        <v>0.11</v>
      </c>
      <c r="AN708" s="323">
        <v>0.24</v>
      </c>
      <c r="AO708" s="323">
        <v>0.7</v>
      </c>
      <c r="AP708" s="323">
        <v>0.15</v>
      </c>
      <c r="AQ708" s="323">
        <v>1.3089599999999999</v>
      </c>
      <c r="AR708" s="323">
        <v>0.90912000000000004</v>
      </c>
      <c r="AS708" s="323">
        <v>1.2945850000000001</v>
      </c>
      <c r="AT708" s="323">
        <v>0.50252399999999997</v>
      </c>
      <c r="AU708" s="190">
        <v>199438848553106.91</v>
      </c>
      <c r="AV708" s="190">
        <v>435139305934051.44</v>
      </c>
      <c r="AW708" s="190">
        <v>251921651607749.09</v>
      </c>
      <c r="AX708" s="190">
        <v>578018502233826.5</v>
      </c>
      <c r="AY708" s="203">
        <v>0.2</v>
      </c>
      <c r="BB708" s="204">
        <v>37449</v>
      </c>
      <c r="BC708" s="203" t="s">
        <v>3224</v>
      </c>
    </row>
    <row r="709" spans="1:55" x14ac:dyDescent="0.2">
      <c r="A709" s="184" t="s">
        <v>2621</v>
      </c>
      <c r="B709" s="184" t="s">
        <v>2642</v>
      </c>
      <c r="C709" s="184" t="s">
        <v>1008</v>
      </c>
      <c r="D709" s="185" t="s">
        <v>2614</v>
      </c>
      <c r="E709" s="184" t="s">
        <v>2643</v>
      </c>
      <c r="F709" s="184" t="s">
        <v>2644</v>
      </c>
      <c r="G709" s="186">
        <f>IF(ALECA_Input!$F$13="ICAO (3000ft)",'Aircraft Calc'!C$217,'Aircraft Calc'!G$217)</f>
        <v>0.3</v>
      </c>
      <c r="H709" s="186">
        <f>IF(ALECA_Input!$F$13="ICAO (3000ft)",'Aircraft Calc'!D$217,'Aircraft Calc'!H$217)</f>
        <v>5</v>
      </c>
      <c r="I709" s="186">
        <f>IF(ALECA_Input!$F$13="ICAO (3000ft)",'Aircraft Calc'!E$217,'Aircraft Calc'!I$217)</f>
        <v>6</v>
      </c>
      <c r="J709" s="189">
        <v>1</v>
      </c>
      <c r="K709" s="187">
        <f t="shared" si="181"/>
        <v>12.828600000000002</v>
      </c>
      <c r="L709" s="187">
        <f t="shared" si="182"/>
        <v>8.3244960000000024E-3</v>
      </c>
      <c r="M709" s="187">
        <f t="shared" si="183"/>
        <v>0.196201296</v>
      </c>
      <c r="N709" s="187">
        <f t="shared" si="184"/>
        <v>17.910786060000003</v>
      </c>
      <c r="O709" s="187">
        <f t="shared" si="185"/>
        <v>1.5600873996000002E-2</v>
      </c>
      <c r="P709" s="188">
        <f t="shared" si="186"/>
        <v>1386873880612493.8</v>
      </c>
      <c r="Q709" s="187">
        <f t="shared" si="187"/>
        <v>192</v>
      </c>
      <c r="R709" s="219">
        <f t="shared" si="188"/>
        <v>7.4880000000000002E-2</v>
      </c>
      <c r="S709" s="219">
        <f t="shared" si="189"/>
        <v>13.07136</v>
      </c>
      <c r="T709" s="219">
        <f t="shared" si="190"/>
        <v>248.39040000000003</v>
      </c>
      <c r="U709" s="219">
        <f t="shared" si="191"/>
        <v>0.1044506112</v>
      </c>
      <c r="V709" s="188">
        <f t="shared" si="192"/>
        <v>55489776214447.344</v>
      </c>
      <c r="W709" s="323">
        <v>3.27E-2</v>
      </c>
      <c r="X709" s="323">
        <v>2.58E-2</v>
      </c>
      <c r="Y709" s="323">
        <v>1.2500000000000001E-2</v>
      </c>
      <c r="Z709" s="323">
        <v>3.2000000000000002E-3</v>
      </c>
      <c r="AA709" s="323">
        <v>0.36</v>
      </c>
      <c r="AB709" s="323">
        <v>0.24</v>
      </c>
      <c r="AC709" s="323">
        <v>1.3900000000000001</v>
      </c>
      <c r="AD709" s="323">
        <v>0.39</v>
      </c>
      <c r="AE709" s="323">
        <v>12.36</v>
      </c>
      <c r="AF709" s="323">
        <v>16.63</v>
      </c>
      <c r="AG709" s="323">
        <v>13.38</v>
      </c>
      <c r="AH709" s="323">
        <v>68.08</v>
      </c>
      <c r="AI709" s="323">
        <v>1442.1</v>
      </c>
      <c r="AJ709" s="323">
        <v>1470.9</v>
      </c>
      <c r="AK709" s="323">
        <v>1261.5999999999999</v>
      </c>
      <c r="AL709" s="323">
        <v>1293.7</v>
      </c>
      <c r="AM709" s="323">
        <v>0.11</v>
      </c>
      <c r="AN709" s="323">
        <v>8.4000000000000005E-2</v>
      </c>
      <c r="AO709" s="323">
        <v>5.6000000000000001E-2</v>
      </c>
      <c r="AP709" s="323">
        <v>7.4999999999999997E-2</v>
      </c>
      <c r="AQ709" s="323">
        <v>1.58036</v>
      </c>
      <c r="AR709" s="323">
        <v>1.3968400000000001</v>
      </c>
      <c r="AS709" s="323">
        <v>0.85758500000000004</v>
      </c>
      <c r="AT709" s="323">
        <v>0.54401359999999999</v>
      </c>
      <c r="AU709" s="190">
        <v>199438848553106.91</v>
      </c>
      <c r="AV709" s="190">
        <v>152298757076918</v>
      </c>
      <c r="AW709" s="190">
        <v>20153732128619.93</v>
      </c>
      <c r="AX709" s="190">
        <v>289009251116913.25</v>
      </c>
      <c r="AY709" s="203">
        <v>0.4</v>
      </c>
      <c r="BB709" s="204">
        <v>37449</v>
      </c>
      <c r="BC709" s="203" t="s">
        <v>716</v>
      </c>
    </row>
    <row r="710" spans="1:55" x14ac:dyDescent="0.2">
      <c r="A710" s="184" t="s">
        <v>341</v>
      </c>
      <c r="B710" s="184" t="s">
        <v>2645</v>
      </c>
      <c r="C710" s="184" t="s">
        <v>2631</v>
      </c>
      <c r="D710" s="185" t="s">
        <v>2614</v>
      </c>
      <c r="E710" s="184" t="s">
        <v>2646</v>
      </c>
      <c r="F710" s="184" t="s">
        <v>2647</v>
      </c>
      <c r="G710" s="186">
        <f>IF(ALECA_Input!$F$13="ICAO (3000ft)",'Aircraft Calc'!C$217,'Aircraft Calc'!G$217)</f>
        <v>0.3</v>
      </c>
      <c r="H710" s="186">
        <f>IF(ALECA_Input!$F$13="ICAO (3000ft)",'Aircraft Calc'!D$217,'Aircraft Calc'!H$217)</f>
        <v>5</v>
      </c>
      <c r="I710" s="186">
        <f>IF(ALECA_Input!$F$13="ICAO (3000ft)",'Aircraft Calc'!E$217,'Aircraft Calc'!I$217)</f>
        <v>6</v>
      </c>
      <c r="J710" s="189">
        <v>1</v>
      </c>
      <c r="K710" s="187">
        <f t="shared" si="181"/>
        <v>6.8243999999999998</v>
      </c>
      <c r="L710" s="187">
        <f t="shared" si="182"/>
        <v>2.7469944000000003E-2</v>
      </c>
      <c r="M710" s="187">
        <f t="shared" si="183"/>
        <v>6.9936828000000006E-2</v>
      </c>
      <c r="N710" s="187">
        <f t="shared" si="184"/>
        <v>6.6886140000000012</v>
      </c>
      <c r="O710" s="187">
        <f t="shared" si="185"/>
        <v>5.6417762939999999E-3</v>
      </c>
      <c r="P710" s="188">
        <f t="shared" si="186"/>
        <v>687296792301436.5</v>
      </c>
      <c r="Q710" s="187">
        <f t="shared" si="187"/>
        <v>84</v>
      </c>
      <c r="R710" s="219">
        <f t="shared" si="188"/>
        <v>0.16044000000000003</v>
      </c>
      <c r="S710" s="219">
        <f t="shared" si="189"/>
        <v>11.61384</v>
      </c>
      <c r="T710" s="219">
        <f t="shared" si="190"/>
        <v>49.744800000000005</v>
      </c>
      <c r="U710" s="219">
        <f t="shared" si="191"/>
        <v>8.2070032800000012E-2</v>
      </c>
      <c r="V710" s="188">
        <f t="shared" si="192"/>
        <v>24276777093820.715</v>
      </c>
      <c r="W710" s="323">
        <v>1.6799999999999999E-2</v>
      </c>
      <c r="X710" s="323">
        <v>1.2500000000000001E-2</v>
      </c>
      <c r="Y710" s="323">
        <v>7.7000000000000002E-3</v>
      </c>
      <c r="Z710" s="323">
        <v>1.4E-3</v>
      </c>
      <c r="AA710" s="323">
        <v>2.71</v>
      </c>
      <c r="AB710" s="323">
        <v>4.32</v>
      </c>
      <c r="AC710" s="323">
        <v>3.77</v>
      </c>
      <c r="AD710" s="323">
        <v>1.9100000000000001</v>
      </c>
      <c r="AE710" s="323">
        <v>9.17</v>
      </c>
      <c r="AF710" s="323">
        <v>9.5500000000000007</v>
      </c>
      <c r="AG710" s="323">
        <v>11.31</v>
      </c>
      <c r="AH710" s="323">
        <v>138.26</v>
      </c>
      <c r="AI710" s="323">
        <v>1082</v>
      </c>
      <c r="AJ710" s="323">
        <v>960.80000000000007</v>
      </c>
      <c r="AK710" s="323">
        <v>995.1</v>
      </c>
      <c r="AL710" s="323">
        <v>592.20000000000005</v>
      </c>
      <c r="AM710" s="323">
        <v>0.11</v>
      </c>
      <c r="AN710" s="323">
        <v>8.4000000000000005E-2</v>
      </c>
      <c r="AO710" s="323">
        <v>5.6000000000000001E-2</v>
      </c>
      <c r="AP710" s="323">
        <v>7.4999999999999997E-2</v>
      </c>
      <c r="AQ710" s="323">
        <v>1.2135100000000001</v>
      </c>
      <c r="AR710" s="323">
        <v>0.85875999999999997</v>
      </c>
      <c r="AS710" s="323">
        <v>0.74114749999999996</v>
      </c>
      <c r="AT710" s="323">
        <v>0.97702420000000001</v>
      </c>
      <c r="AU710" s="190">
        <v>199438848553106.91</v>
      </c>
      <c r="AV710" s="190">
        <v>152298757076918</v>
      </c>
      <c r="AW710" s="190">
        <v>20153732128619.93</v>
      </c>
      <c r="AX710" s="190">
        <v>289009251116913.25</v>
      </c>
      <c r="AY710" s="203">
        <v>0.4</v>
      </c>
      <c r="BB710" s="204">
        <v>37449</v>
      </c>
      <c r="BC710" s="203" t="s">
        <v>716</v>
      </c>
    </row>
    <row r="711" spans="1:55" x14ac:dyDescent="0.2">
      <c r="A711" s="184" t="s">
        <v>2648</v>
      </c>
      <c r="B711" s="184" t="s">
        <v>2648</v>
      </c>
      <c r="C711" s="184" t="s">
        <v>2631</v>
      </c>
      <c r="D711" s="185" t="s">
        <v>2614</v>
      </c>
      <c r="E711" s="184" t="s">
        <v>2649</v>
      </c>
      <c r="F711" s="184" t="s">
        <v>2650</v>
      </c>
      <c r="G711" s="186">
        <f>IF(ALECA_Input!$F$13="ICAO (3000ft)",'Aircraft Calc'!C$217,'Aircraft Calc'!G$217)</f>
        <v>0.3</v>
      </c>
      <c r="H711" s="186">
        <f>IF(ALECA_Input!$F$13="ICAO (3000ft)",'Aircraft Calc'!D$217,'Aircraft Calc'!H$217)</f>
        <v>5</v>
      </c>
      <c r="I711" s="186">
        <f>IF(ALECA_Input!$F$13="ICAO (3000ft)",'Aircraft Calc'!E$217,'Aircraft Calc'!I$217)</f>
        <v>6</v>
      </c>
      <c r="J711" s="189">
        <v>1</v>
      </c>
      <c r="K711" s="187">
        <f t="shared" si="181"/>
        <v>9.2555999999999994</v>
      </c>
      <c r="L711" s="187">
        <f t="shared" si="182"/>
        <v>5.1174864E-2</v>
      </c>
      <c r="M711" s="187">
        <f t="shared" si="183"/>
        <v>0.11131469999999999</v>
      </c>
      <c r="N711" s="187">
        <f t="shared" si="184"/>
        <v>8.319986243999999</v>
      </c>
      <c r="O711" s="187">
        <f t="shared" si="185"/>
        <v>8.9592062759999997E-3</v>
      </c>
      <c r="P711" s="188">
        <f t="shared" si="186"/>
        <v>958851821951126.13</v>
      </c>
      <c r="Q711" s="187">
        <f t="shared" si="187"/>
        <v>228</v>
      </c>
      <c r="R711" s="219">
        <f t="shared" si="188"/>
        <v>0.11856000000000001</v>
      </c>
      <c r="S711" s="219">
        <f t="shared" si="189"/>
        <v>9.7173599999999993</v>
      </c>
      <c r="T711" s="219">
        <f t="shared" si="190"/>
        <v>265.25292000000002</v>
      </c>
      <c r="U711" s="219">
        <f t="shared" si="191"/>
        <v>8.8218991199999999E-2</v>
      </c>
      <c r="V711" s="188">
        <f t="shared" si="192"/>
        <v>65894109254656.227</v>
      </c>
      <c r="W711" s="323">
        <v>1.8200000000000001E-2</v>
      </c>
      <c r="X711" s="323">
        <v>1.7999999999999999E-2</v>
      </c>
      <c r="Y711" s="323">
        <v>9.7999999999999997E-3</v>
      </c>
      <c r="Z711" s="323">
        <v>3.8E-3</v>
      </c>
      <c r="AA711" s="323">
        <v>6.64</v>
      </c>
      <c r="AB711" s="323">
        <v>7.31</v>
      </c>
      <c r="AC711" s="323">
        <v>2.7</v>
      </c>
      <c r="AD711" s="323">
        <v>0.52</v>
      </c>
      <c r="AE711" s="323">
        <v>12.65</v>
      </c>
      <c r="AF711" s="323">
        <v>12.32</v>
      </c>
      <c r="AG711" s="323">
        <v>11.52</v>
      </c>
      <c r="AH711" s="323">
        <v>42.62</v>
      </c>
      <c r="AI711" s="323">
        <v>826.59</v>
      </c>
      <c r="AJ711" s="323">
        <v>795.04</v>
      </c>
      <c r="AK711" s="323">
        <v>1064.6199999999999</v>
      </c>
      <c r="AL711" s="323">
        <v>1163.3900000000001</v>
      </c>
      <c r="AM711" s="323">
        <v>0.11</v>
      </c>
      <c r="AN711" s="323">
        <v>8.4000000000000005E-2</v>
      </c>
      <c r="AO711" s="323">
        <v>5.6000000000000001E-2</v>
      </c>
      <c r="AP711" s="323">
        <v>7.4999999999999997E-2</v>
      </c>
      <c r="AQ711" s="323">
        <v>1.61371</v>
      </c>
      <c r="AR711" s="323">
        <v>1.06928</v>
      </c>
      <c r="AS711" s="323">
        <v>0.75295999999999996</v>
      </c>
      <c r="AT711" s="323">
        <v>0.38692539999999997</v>
      </c>
      <c r="AU711" s="190">
        <v>199438848553106.91</v>
      </c>
      <c r="AV711" s="190">
        <v>152298757076918</v>
      </c>
      <c r="AW711" s="190">
        <v>20153732128619.93</v>
      </c>
      <c r="AX711" s="190">
        <v>289009251116913.25</v>
      </c>
      <c r="AY711" s="203">
        <v>0.4</v>
      </c>
      <c r="BA711" s="203">
        <v>2005</v>
      </c>
      <c r="BB711" s="204">
        <v>38644</v>
      </c>
      <c r="BC711" s="203" t="s">
        <v>716</v>
      </c>
    </row>
    <row r="712" spans="1:55" x14ac:dyDescent="0.2">
      <c r="A712" s="184" t="s">
        <v>2651</v>
      </c>
      <c r="B712" s="184" t="s">
        <v>2651</v>
      </c>
      <c r="C712" s="184" t="s">
        <v>1008</v>
      </c>
      <c r="D712" s="185" t="s">
        <v>2614</v>
      </c>
      <c r="E712" s="184" t="s">
        <v>2652</v>
      </c>
      <c r="F712" s="184" t="s">
        <v>2653</v>
      </c>
      <c r="G712" s="186">
        <f>IF(ALECA_Input!$F$13="ICAO (3000ft)",'Aircraft Calc'!C$217,'Aircraft Calc'!G$217)</f>
        <v>0.3</v>
      </c>
      <c r="H712" s="186">
        <f>IF(ALECA_Input!$F$13="ICAO (3000ft)",'Aircraft Calc'!D$217,'Aircraft Calc'!H$217)</f>
        <v>5</v>
      </c>
      <c r="I712" s="186">
        <f>IF(ALECA_Input!$F$13="ICAO (3000ft)",'Aircraft Calc'!E$217,'Aircraft Calc'!I$217)</f>
        <v>6</v>
      </c>
      <c r="J712" s="189">
        <v>1</v>
      </c>
      <c r="K712" s="187">
        <f t="shared" si="181"/>
        <v>5.2200000000000006</v>
      </c>
      <c r="L712" s="187">
        <f t="shared" si="182"/>
        <v>2.4349320000000001E-2</v>
      </c>
      <c r="M712" s="187">
        <f t="shared" si="183"/>
        <v>7.4622960000000002E-2</v>
      </c>
      <c r="N712" s="187">
        <f t="shared" si="184"/>
        <v>5.2368937200000003</v>
      </c>
      <c r="O712" s="187">
        <f t="shared" si="185"/>
        <v>5.8155903000000004E-3</v>
      </c>
      <c r="P712" s="188">
        <f t="shared" si="186"/>
        <v>548291843200877.25</v>
      </c>
      <c r="Q712" s="187">
        <f t="shared" si="187"/>
        <v>96</v>
      </c>
      <c r="R712" s="219">
        <f t="shared" si="188"/>
        <v>0.13727999999999999</v>
      </c>
      <c r="S712" s="219">
        <f t="shared" si="189"/>
        <v>2.62656</v>
      </c>
      <c r="T712" s="219">
        <f t="shared" si="190"/>
        <v>103.74912</v>
      </c>
      <c r="U712" s="219">
        <f t="shared" si="191"/>
        <v>2.8106035200000001E-2</v>
      </c>
      <c r="V712" s="188">
        <f t="shared" si="192"/>
        <v>27744888107223.672</v>
      </c>
      <c r="W712" s="323">
        <v>1.2E-2</v>
      </c>
      <c r="X712" s="323">
        <v>1.0200000000000001E-2</v>
      </c>
      <c r="Y712" s="323">
        <v>5.4000000000000003E-3</v>
      </c>
      <c r="Z712" s="323">
        <v>1.6000000000000001E-3</v>
      </c>
      <c r="AA712" s="323">
        <v>3.51</v>
      </c>
      <c r="AB712" s="323">
        <v>5.81</v>
      </c>
      <c r="AC712" s="323">
        <v>2.99</v>
      </c>
      <c r="AD712" s="323">
        <v>1.43</v>
      </c>
      <c r="AE712" s="323">
        <v>15.32</v>
      </c>
      <c r="AF712" s="323">
        <v>12.88</v>
      </c>
      <c r="AG712" s="323">
        <v>16.41</v>
      </c>
      <c r="AH712" s="323">
        <v>27.36</v>
      </c>
      <c r="AI712" s="323">
        <v>1146.0899999999999</v>
      </c>
      <c r="AJ712" s="323">
        <v>942.53</v>
      </c>
      <c r="AK712" s="323">
        <v>1082.92</v>
      </c>
      <c r="AL712" s="323">
        <v>1080.72</v>
      </c>
      <c r="AM712" s="323">
        <v>0.11</v>
      </c>
      <c r="AN712" s="323">
        <v>8.4000000000000005E-2</v>
      </c>
      <c r="AO712" s="323">
        <v>5.6000000000000001E-2</v>
      </c>
      <c r="AP712" s="323">
        <v>7.4999999999999997E-2</v>
      </c>
      <c r="AQ712" s="323">
        <v>1.92076</v>
      </c>
      <c r="AR712" s="323">
        <v>1.1118399999999999</v>
      </c>
      <c r="AS712" s="323">
        <v>1.0280225000000001</v>
      </c>
      <c r="AT712" s="323">
        <v>0.29277120000000001</v>
      </c>
      <c r="AU712" s="190">
        <v>199438848553106.91</v>
      </c>
      <c r="AV712" s="190">
        <v>152298757076918</v>
      </c>
      <c r="AW712" s="190">
        <v>20153732128619.93</v>
      </c>
      <c r="AX712" s="190">
        <v>289009251116913.25</v>
      </c>
      <c r="AY712" s="203">
        <v>0.2</v>
      </c>
      <c r="BA712" s="203">
        <v>2005</v>
      </c>
      <c r="BB712" s="204">
        <v>38644</v>
      </c>
      <c r="BC712" s="203" t="s">
        <v>716</v>
      </c>
    </row>
    <row r="713" spans="1:55" x14ac:dyDescent="0.2">
      <c r="A713" s="184" t="s">
        <v>2654</v>
      </c>
      <c r="B713" s="184" t="s">
        <v>2654</v>
      </c>
      <c r="C713" s="184" t="s">
        <v>1008</v>
      </c>
      <c r="D713" s="185" t="s">
        <v>2614</v>
      </c>
      <c r="E713" s="184" t="s">
        <v>364</v>
      </c>
      <c r="F713" s="184" t="s">
        <v>2655</v>
      </c>
      <c r="G713" s="186">
        <f>IF(ALECA_Input!$F$13="ICAO (3000ft)",'Aircraft Calc'!C$217,'Aircraft Calc'!G$217)</f>
        <v>0.3</v>
      </c>
      <c r="H713" s="186">
        <f>IF(ALECA_Input!$F$13="ICAO (3000ft)",'Aircraft Calc'!D$217,'Aircraft Calc'!H$217)</f>
        <v>5</v>
      </c>
      <c r="I713" s="186">
        <f>IF(ALECA_Input!$F$13="ICAO (3000ft)",'Aircraft Calc'!E$217,'Aircraft Calc'!I$217)</f>
        <v>6</v>
      </c>
      <c r="J713" s="189">
        <v>1</v>
      </c>
      <c r="K713" s="187">
        <f t="shared" si="181"/>
        <v>5.6567999999999996</v>
      </c>
      <c r="L713" s="187">
        <f t="shared" si="182"/>
        <v>7.5333839999999997E-3</v>
      </c>
      <c r="M713" s="187">
        <f t="shared" si="183"/>
        <v>0.10280956799999999</v>
      </c>
      <c r="N713" s="187">
        <f t="shared" si="184"/>
        <v>7.5146849999999992</v>
      </c>
      <c r="O713" s="187">
        <f t="shared" si="185"/>
        <v>9.6812001479999986E-3</v>
      </c>
      <c r="P713" s="188">
        <f t="shared" si="186"/>
        <v>1994854749384580</v>
      </c>
      <c r="Q713" s="187">
        <f t="shared" si="187"/>
        <v>84</v>
      </c>
      <c r="R713" s="219">
        <f t="shared" si="188"/>
        <v>0.18396000000000001</v>
      </c>
      <c r="S713" s="219">
        <f t="shared" si="189"/>
        <v>4.0580400000000001</v>
      </c>
      <c r="T713" s="219">
        <f t="shared" si="190"/>
        <v>91.959000000000003</v>
      </c>
      <c r="U713" s="219">
        <f t="shared" si="191"/>
        <v>4.1750746800000002E-2</v>
      </c>
      <c r="V713" s="188">
        <f t="shared" si="192"/>
        <v>48553554187641.43</v>
      </c>
      <c r="W713" s="323">
        <v>1.3599999999999999E-2</v>
      </c>
      <c r="X713" s="323">
        <v>1.06E-2</v>
      </c>
      <c r="Y713" s="323">
        <v>6.1999999999999998E-3</v>
      </c>
      <c r="Z713" s="323">
        <v>1.4E-3</v>
      </c>
      <c r="AA713" s="323">
        <v>1.48</v>
      </c>
      <c r="AB713" s="323">
        <v>1.49</v>
      </c>
      <c r="AC713" s="323">
        <v>1.0900000000000001</v>
      </c>
      <c r="AD713" s="323">
        <v>2.19</v>
      </c>
      <c r="AE713" s="323">
        <v>15.46</v>
      </c>
      <c r="AF713" s="323">
        <v>16.66</v>
      </c>
      <c r="AG713" s="323">
        <v>20.63</v>
      </c>
      <c r="AH713" s="323">
        <v>48.31</v>
      </c>
      <c r="AI713" s="323">
        <v>1293.95</v>
      </c>
      <c r="AJ713" s="323">
        <v>1305.69</v>
      </c>
      <c r="AK713" s="323">
        <v>1364.62</v>
      </c>
      <c r="AL713" s="323">
        <v>1094.75</v>
      </c>
      <c r="AM713" s="323">
        <v>0.11</v>
      </c>
      <c r="AN713" s="323">
        <v>0.24</v>
      </c>
      <c r="AO713" s="323">
        <v>0.7</v>
      </c>
      <c r="AP713" s="323">
        <v>0.15</v>
      </c>
      <c r="AQ713" s="323">
        <v>1.93686</v>
      </c>
      <c r="AR713" s="323">
        <v>1.5551200000000001</v>
      </c>
      <c r="AS713" s="323">
        <v>1.9093975000000001</v>
      </c>
      <c r="AT713" s="323">
        <v>0.49703269999999999</v>
      </c>
      <c r="AU713" s="190">
        <v>199438848553106.91</v>
      </c>
      <c r="AV713" s="190">
        <v>435139305934051.44</v>
      </c>
      <c r="AW713" s="190">
        <v>251921651607749.09</v>
      </c>
      <c r="AX713" s="190">
        <v>578018502233826.5</v>
      </c>
      <c r="AY713" s="203">
        <v>0.2</v>
      </c>
      <c r="BA713" s="203">
        <v>2005</v>
      </c>
      <c r="BB713" s="204">
        <v>38644</v>
      </c>
      <c r="BC713" s="203" t="s">
        <v>716</v>
      </c>
    </row>
    <row r="714" spans="1:55" x14ac:dyDescent="0.2">
      <c r="A714" s="184" t="s">
        <v>2656</v>
      </c>
      <c r="B714" s="184" t="s">
        <v>2656</v>
      </c>
      <c r="C714" s="184" t="s">
        <v>1025</v>
      </c>
      <c r="D714" s="185" t="s">
        <v>2614</v>
      </c>
      <c r="E714" s="184" t="s">
        <v>2657</v>
      </c>
      <c r="F714" s="184" t="s">
        <v>2658</v>
      </c>
      <c r="G714" s="186">
        <f>IF(ALECA_Input!$F$13="ICAO (3000ft)",'Aircraft Calc'!C$217,'Aircraft Calc'!G$217)</f>
        <v>0.3</v>
      </c>
      <c r="H714" s="186">
        <f>IF(ALECA_Input!$F$13="ICAO (3000ft)",'Aircraft Calc'!D$217,'Aircraft Calc'!H$217)</f>
        <v>5</v>
      </c>
      <c r="I714" s="186">
        <f>IF(ALECA_Input!$F$13="ICAO (3000ft)",'Aircraft Calc'!E$217,'Aircraft Calc'!I$217)</f>
        <v>6</v>
      </c>
      <c r="J714" s="189">
        <v>1</v>
      </c>
      <c r="K714" s="187">
        <f t="shared" si="181"/>
        <v>2.8536000000000001</v>
      </c>
      <c r="L714" s="187">
        <f t="shared" si="182"/>
        <v>4.5633600000000003E-2</v>
      </c>
      <c r="M714" s="187">
        <f t="shared" si="183"/>
        <v>3.9312E-2</v>
      </c>
      <c r="N714" s="187">
        <f t="shared" si="184"/>
        <v>2.0578559999999997</v>
      </c>
      <c r="O714" s="187">
        <f t="shared" si="185"/>
        <v>2.8792575360000001E-3</v>
      </c>
      <c r="P714" s="188">
        <f t="shared" si="186"/>
        <v>8611770991423.5244</v>
      </c>
      <c r="Q714" s="187">
        <f t="shared" si="187"/>
        <v>108</v>
      </c>
      <c r="R714" s="219">
        <f t="shared" si="188"/>
        <v>0.54</v>
      </c>
      <c r="S714" s="219">
        <f t="shared" si="189"/>
        <v>4.1688000000000001</v>
      </c>
      <c r="T714" s="219">
        <f t="shared" si="190"/>
        <v>107.352</v>
      </c>
      <c r="U714" s="219">
        <f t="shared" si="191"/>
        <v>3.1171175999999998E-2</v>
      </c>
      <c r="V714" s="188">
        <f t="shared" si="192"/>
        <v>624259982412.53259</v>
      </c>
      <c r="W714" s="323">
        <v>7.1999999999999998E-3</v>
      </c>
      <c r="X714" s="323">
        <v>5.5999999999999999E-3</v>
      </c>
      <c r="Y714" s="323">
        <v>2.8999999999999998E-3</v>
      </c>
      <c r="Z714" s="323">
        <v>1.8E-3</v>
      </c>
      <c r="AA714" s="323">
        <v>6</v>
      </c>
      <c r="AB714" s="323">
        <v>18</v>
      </c>
      <c r="AC714" s="323">
        <v>14</v>
      </c>
      <c r="AD714" s="323">
        <v>5</v>
      </c>
      <c r="AE714" s="323">
        <v>15</v>
      </c>
      <c r="AF714" s="323">
        <v>12.3</v>
      </c>
      <c r="AG714" s="323">
        <v>16</v>
      </c>
      <c r="AH714" s="323">
        <v>38.6</v>
      </c>
      <c r="AI714" s="323">
        <v>1020</v>
      </c>
      <c r="AJ714" s="323">
        <v>664</v>
      </c>
      <c r="AK714" s="323">
        <v>776</v>
      </c>
      <c r="AL714" s="323">
        <v>994</v>
      </c>
      <c r="AM714" s="323">
        <v>3.3E-3</v>
      </c>
      <c r="AN714" s="323">
        <v>2.3999999999999998E-3</v>
      </c>
      <c r="AO714" s="323">
        <v>1.4E-3</v>
      </c>
      <c r="AP714" s="323">
        <v>1.5E-3</v>
      </c>
      <c r="AQ714" s="323">
        <v>1.7772600000000001</v>
      </c>
      <c r="AR714" s="323">
        <v>0.98616000000000004</v>
      </c>
      <c r="AS714" s="323">
        <v>0.95035999999999998</v>
      </c>
      <c r="AT714" s="323">
        <v>0.28862199999999999</v>
      </c>
      <c r="AU714" s="190">
        <v>5983165456593.208</v>
      </c>
      <c r="AV714" s="190">
        <v>4351393059340.5146</v>
      </c>
      <c r="AW714" s="190">
        <v>503843303215.49817</v>
      </c>
      <c r="AX714" s="190">
        <v>5780185022338.2646</v>
      </c>
      <c r="AY714" s="203">
        <v>0.1</v>
      </c>
      <c r="BA714" s="203">
        <v>2005</v>
      </c>
      <c r="BB714" s="204">
        <v>38680</v>
      </c>
      <c r="BC714" s="203" t="s">
        <v>716</v>
      </c>
    </row>
    <row r="715" spans="1:55" x14ac:dyDescent="0.2">
      <c r="A715" s="184" t="s">
        <v>2659</v>
      </c>
      <c r="B715" s="184" t="s">
        <v>2659</v>
      </c>
      <c r="C715" s="184" t="s">
        <v>1025</v>
      </c>
      <c r="D715" s="185" t="s">
        <v>2614</v>
      </c>
      <c r="E715" s="184" t="s">
        <v>2660</v>
      </c>
      <c r="F715" s="184" t="s">
        <v>2661</v>
      </c>
      <c r="G715" s="186">
        <f>IF(ALECA_Input!$F$13="ICAO (3000ft)",'Aircraft Calc'!C$217,'Aircraft Calc'!G$217)</f>
        <v>0.3</v>
      </c>
      <c r="H715" s="186">
        <f>IF(ALECA_Input!$F$13="ICAO (3000ft)",'Aircraft Calc'!D$217,'Aircraft Calc'!H$217)</f>
        <v>5</v>
      </c>
      <c r="I715" s="186">
        <f>IF(ALECA_Input!$F$13="ICAO (3000ft)",'Aircraft Calc'!E$217,'Aircraft Calc'!I$217)</f>
        <v>6</v>
      </c>
      <c r="J715" s="189">
        <v>1</v>
      </c>
      <c r="K715" s="187">
        <f t="shared" si="181"/>
        <v>2.16012</v>
      </c>
      <c r="L715" s="187">
        <f t="shared" si="182"/>
        <v>4.6364562000000005E-2</v>
      </c>
      <c r="M715" s="187">
        <f t="shared" si="183"/>
        <v>4.6308872399999999E-2</v>
      </c>
      <c r="N715" s="187">
        <f t="shared" si="184"/>
        <v>1.3964450904000001</v>
      </c>
      <c r="O715" s="187">
        <f t="shared" si="185"/>
        <v>3.2848236672000002E-3</v>
      </c>
      <c r="P715" s="188">
        <f t="shared" si="186"/>
        <v>6370605940095.0479</v>
      </c>
      <c r="Q715" s="187">
        <f t="shared" si="187"/>
        <v>30</v>
      </c>
      <c r="R715" s="219">
        <f t="shared" si="188"/>
        <v>2.58E-2</v>
      </c>
      <c r="S715" s="219">
        <f t="shared" si="189"/>
        <v>1.5642</v>
      </c>
      <c r="T715" s="219">
        <f t="shared" si="190"/>
        <v>38.430900000000001</v>
      </c>
      <c r="U715" s="219">
        <f t="shared" si="191"/>
        <v>1.1164914E-2</v>
      </c>
      <c r="V715" s="188">
        <f t="shared" si="192"/>
        <v>173405550670.14792</v>
      </c>
      <c r="W715" s="323">
        <v>5.3400000000000001E-3</v>
      </c>
      <c r="X715" s="323">
        <v>4.1200000000000004E-3</v>
      </c>
      <c r="Y715" s="323">
        <v>2.3E-3</v>
      </c>
      <c r="Z715" s="323">
        <v>5.0000000000000001E-4</v>
      </c>
      <c r="AA715" s="323">
        <v>40.35</v>
      </c>
      <c r="AB715" s="323">
        <v>30.12</v>
      </c>
      <c r="AC715" s="323">
        <v>6.35</v>
      </c>
      <c r="AD715" s="323">
        <v>0.86</v>
      </c>
      <c r="AE715" s="323">
        <v>13.27</v>
      </c>
      <c r="AF715" s="323">
        <v>20.27</v>
      </c>
      <c r="AG715" s="323">
        <v>24.13</v>
      </c>
      <c r="AH715" s="323">
        <v>52.14</v>
      </c>
      <c r="AI715" s="323">
        <v>531.41999999999996</v>
      </c>
      <c r="AJ715" s="323">
        <v>461.34</v>
      </c>
      <c r="AK715" s="323">
        <v>936.17</v>
      </c>
      <c r="AL715" s="323">
        <v>1281.03</v>
      </c>
      <c r="AM715" s="323">
        <v>3.3E-3</v>
      </c>
      <c r="AN715" s="323">
        <v>2.3999999999999998E-3</v>
      </c>
      <c r="AO715" s="323">
        <v>1.4E-3</v>
      </c>
      <c r="AP715" s="323">
        <v>1.5E-3</v>
      </c>
      <c r="AQ715" s="323">
        <v>1.5783100000000001</v>
      </c>
      <c r="AR715" s="323">
        <v>1.59188</v>
      </c>
      <c r="AS715" s="323">
        <v>1.4076725000000001</v>
      </c>
      <c r="AT715" s="323">
        <v>0.37216379999999999</v>
      </c>
      <c r="AU715" s="190">
        <v>5983165456593.208</v>
      </c>
      <c r="AV715" s="190">
        <v>4351393059340.5146</v>
      </c>
      <c r="AW715" s="190">
        <v>503843303215.49817</v>
      </c>
      <c r="AX715" s="190">
        <v>5780185022338.2646</v>
      </c>
      <c r="AY715" s="203">
        <v>0.1</v>
      </c>
      <c r="BA715" s="203">
        <v>2006</v>
      </c>
      <c r="BB715" s="204">
        <v>38820</v>
      </c>
      <c r="BC715" s="203" t="s">
        <v>716</v>
      </c>
    </row>
    <row r="716" spans="1:55" x14ac:dyDescent="0.2">
      <c r="A716" s="184" t="s">
        <v>2662</v>
      </c>
      <c r="B716" s="184" t="s">
        <v>2662</v>
      </c>
      <c r="C716" s="184" t="s">
        <v>1025</v>
      </c>
      <c r="D716" s="185" t="s">
        <v>2614</v>
      </c>
      <c r="E716" s="184" t="s">
        <v>2663</v>
      </c>
      <c r="F716" s="184" t="s">
        <v>2663</v>
      </c>
      <c r="G716" s="186">
        <f>IF(ALECA_Input!$F$13="ICAO (3000ft)",'Aircraft Calc'!C$217,'Aircraft Calc'!G$217)</f>
        <v>0.3</v>
      </c>
      <c r="H716" s="186">
        <f>IF(ALECA_Input!$F$13="ICAO (3000ft)",'Aircraft Calc'!D$217,'Aircraft Calc'!H$217)</f>
        <v>5</v>
      </c>
      <c r="I716" s="186">
        <f>IF(ALECA_Input!$F$13="ICAO (3000ft)",'Aircraft Calc'!E$217,'Aircraft Calc'!I$217)</f>
        <v>6</v>
      </c>
      <c r="J716" s="189">
        <v>1</v>
      </c>
      <c r="K716" s="187">
        <f t="shared" si="181"/>
        <v>1.6463999999999999</v>
      </c>
      <c r="L716" s="187">
        <f t="shared" si="182"/>
        <v>1.9692504E-2</v>
      </c>
      <c r="M716" s="187">
        <f t="shared" si="183"/>
        <v>2.2744451999999998E-2</v>
      </c>
      <c r="N716" s="187">
        <f t="shared" si="184"/>
        <v>1.1239111559999999</v>
      </c>
      <c r="O716" s="187">
        <f t="shared" si="185"/>
        <v>1.6868083440000001E-3</v>
      </c>
      <c r="P716" s="188">
        <f t="shared" si="186"/>
        <v>4782534522901.2959</v>
      </c>
      <c r="Q716" s="187">
        <f t="shared" si="187"/>
        <v>72</v>
      </c>
      <c r="R716" s="219">
        <f t="shared" si="188"/>
        <v>5.7599999999999998E-2</v>
      </c>
      <c r="S716" s="219">
        <f t="shared" si="189"/>
        <v>1.51416</v>
      </c>
      <c r="T716" s="219">
        <f t="shared" si="190"/>
        <v>86.844239999999999</v>
      </c>
      <c r="U716" s="219">
        <f t="shared" si="191"/>
        <v>1.2975487199999998E-2</v>
      </c>
      <c r="V716" s="188">
        <f t="shared" si="192"/>
        <v>416173321608.35504</v>
      </c>
      <c r="W716" s="323">
        <v>3.8E-3</v>
      </c>
      <c r="X716" s="323">
        <v>3.0999999999999999E-3</v>
      </c>
      <c r="Y716" s="323">
        <v>1.8E-3</v>
      </c>
      <c r="Z716" s="323">
        <v>1.1999999999999999E-3</v>
      </c>
      <c r="AA716" s="323">
        <v>12.71</v>
      </c>
      <c r="AB716" s="323">
        <v>10.29</v>
      </c>
      <c r="AC716" s="323">
        <v>14.28</v>
      </c>
      <c r="AD716" s="323">
        <v>0.8</v>
      </c>
      <c r="AE716" s="323">
        <v>14.08</v>
      </c>
      <c r="AF716" s="323">
        <v>14.53</v>
      </c>
      <c r="AG716" s="323">
        <v>12.76</v>
      </c>
      <c r="AH716" s="323">
        <v>21.03</v>
      </c>
      <c r="AI716" s="323">
        <v>700.69</v>
      </c>
      <c r="AJ716" s="323">
        <v>760.18</v>
      </c>
      <c r="AK716" s="323">
        <v>569.47</v>
      </c>
      <c r="AL716" s="323">
        <v>1206.17</v>
      </c>
      <c r="AM716" s="323">
        <v>3.3E-3</v>
      </c>
      <c r="AN716" s="323">
        <v>2.3999999999999998E-3</v>
      </c>
      <c r="AO716" s="323">
        <v>1.4E-3</v>
      </c>
      <c r="AP716" s="323">
        <v>1.5E-3</v>
      </c>
      <c r="AQ716" s="323">
        <v>1.6714599999999999</v>
      </c>
      <c r="AR716" s="323">
        <v>1.15564</v>
      </c>
      <c r="AS716" s="323">
        <v>0.76810999999999996</v>
      </c>
      <c r="AT716" s="323">
        <v>0.18021509999999999</v>
      </c>
      <c r="AU716" s="190">
        <v>5983165456593.208</v>
      </c>
      <c r="AV716" s="190">
        <v>4351393059340.5146</v>
      </c>
      <c r="AW716" s="190">
        <v>503843303215.49817</v>
      </c>
      <c r="AX716" s="190">
        <v>5780185022338.2646</v>
      </c>
      <c r="AY716" s="203">
        <v>0.1</v>
      </c>
      <c r="BA716" s="203">
        <v>2004</v>
      </c>
      <c r="BB716" s="204">
        <v>38820</v>
      </c>
      <c r="BC716" s="203" t="s">
        <v>716</v>
      </c>
    </row>
    <row r="717" spans="1:55" x14ac:dyDescent="0.2">
      <c r="A717" s="184" t="s">
        <v>2664</v>
      </c>
      <c r="B717" s="184" t="s">
        <v>2664</v>
      </c>
      <c r="C717" s="184" t="s">
        <v>2631</v>
      </c>
      <c r="D717" s="185" t="s">
        <v>2614</v>
      </c>
      <c r="E717" s="184" t="s">
        <v>2665</v>
      </c>
      <c r="F717" s="184" t="s">
        <v>2666</v>
      </c>
      <c r="G717" s="186">
        <f>IF(ALECA_Input!$F$13="ICAO (3000ft)",'Aircraft Calc'!C$217,'Aircraft Calc'!G$217)</f>
        <v>0.3</v>
      </c>
      <c r="H717" s="186">
        <f>IF(ALECA_Input!$F$13="ICAO (3000ft)",'Aircraft Calc'!D$217,'Aircraft Calc'!H$217)</f>
        <v>5</v>
      </c>
      <c r="I717" s="186">
        <f>IF(ALECA_Input!$F$13="ICAO (3000ft)",'Aircraft Calc'!E$217,'Aircraft Calc'!I$217)</f>
        <v>6</v>
      </c>
      <c r="J717" s="189">
        <v>1</v>
      </c>
      <c r="K717" s="187">
        <f t="shared" si="181"/>
        <v>12.425999999999998</v>
      </c>
      <c r="L717" s="187">
        <f t="shared" si="182"/>
        <v>2.1756359999999999E-2</v>
      </c>
      <c r="M717" s="187">
        <f t="shared" si="183"/>
        <v>0.16457279999999999</v>
      </c>
      <c r="N717" s="187">
        <f t="shared" si="184"/>
        <v>14.997408</v>
      </c>
      <c r="O717" s="187">
        <f t="shared" si="185"/>
        <v>1.312624896E-2</v>
      </c>
      <c r="P717" s="188">
        <f t="shared" si="186"/>
        <v>1249363514155788.5</v>
      </c>
      <c r="Q717" s="187">
        <f t="shared" si="187"/>
        <v>366.00000000000006</v>
      </c>
      <c r="R717" s="219">
        <f t="shared" si="188"/>
        <v>1.2956400000000001</v>
      </c>
      <c r="S717" s="219">
        <f t="shared" si="189"/>
        <v>3.0012000000000003</v>
      </c>
      <c r="T717" s="219">
        <f t="shared" si="190"/>
        <v>169.09200000000001</v>
      </c>
      <c r="U717" s="219">
        <f t="shared" si="191"/>
        <v>6.3886763999999999E-2</v>
      </c>
      <c r="V717" s="188">
        <f t="shared" si="192"/>
        <v>105777385908790.27</v>
      </c>
      <c r="W717" s="323">
        <v>2.7E-2</v>
      </c>
      <c r="X717" s="323">
        <v>2.3E-2</v>
      </c>
      <c r="Y717" s="323">
        <v>1.4E-2</v>
      </c>
      <c r="Z717" s="323">
        <v>6.1000000000000004E-3</v>
      </c>
      <c r="AA717" s="323">
        <v>2.96</v>
      </c>
      <c r="AB717" s="323">
        <v>2.09</v>
      </c>
      <c r="AC717" s="323">
        <v>1.17</v>
      </c>
      <c r="AD717" s="323">
        <v>3.54</v>
      </c>
      <c r="AE717" s="323">
        <v>15.8</v>
      </c>
      <c r="AF717" s="323">
        <v>13.9</v>
      </c>
      <c r="AG717" s="323">
        <v>12.1</v>
      </c>
      <c r="AH717" s="323">
        <v>8.1999999999999993</v>
      </c>
      <c r="AI717" s="323">
        <v>1018</v>
      </c>
      <c r="AJ717" s="323">
        <v>1153</v>
      </c>
      <c r="AK717" s="323">
        <v>1299</v>
      </c>
      <c r="AL717" s="323">
        <v>462</v>
      </c>
      <c r="AM717" s="323">
        <v>0.11</v>
      </c>
      <c r="AN717" s="323">
        <v>8.4000000000000005E-2</v>
      </c>
      <c r="AO717" s="323">
        <v>5.6000000000000001E-2</v>
      </c>
      <c r="AP717" s="323">
        <v>7.4999999999999997E-2</v>
      </c>
      <c r="AQ717" s="323">
        <v>1.9759599999999999</v>
      </c>
      <c r="AR717" s="323">
        <v>1.18936</v>
      </c>
      <c r="AS717" s="323">
        <v>0.78558499999999998</v>
      </c>
      <c r="AT717" s="323">
        <v>0.17455399999999999</v>
      </c>
      <c r="AU717" s="190">
        <v>199438848553106.91</v>
      </c>
      <c r="AV717" s="190">
        <v>152298757076918</v>
      </c>
      <c r="AW717" s="190">
        <v>20153732128619.93</v>
      </c>
      <c r="AX717" s="190">
        <v>289009251116913.25</v>
      </c>
      <c r="AY717" s="203">
        <v>0.4</v>
      </c>
      <c r="BA717" s="203">
        <v>2006</v>
      </c>
      <c r="BB717" s="204">
        <v>38828</v>
      </c>
      <c r="BC717" s="203" t="s">
        <v>716</v>
      </c>
    </row>
    <row r="718" spans="1:55" x14ac:dyDescent="0.2">
      <c r="A718" s="184" t="s">
        <v>2667</v>
      </c>
      <c r="B718" s="184" t="s">
        <v>2667</v>
      </c>
      <c r="C718" s="184" t="s">
        <v>1008</v>
      </c>
      <c r="D718" s="185" t="s">
        <v>2614</v>
      </c>
      <c r="E718" s="184" t="s">
        <v>2668</v>
      </c>
      <c r="F718" s="184" t="s">
        <v>2633</v>
      </c>
      <c r="G718" s="186">
        <f>IF(ALECA_Input!$F$13="ICAO (3000ft)",'Aircraft Calc'!C$217,'Aircraft Calc'!G$217)</f>
        <v>0.3</v>
      </c>
      <c r="H718" s="186">
        <f>IF(ALECA_Input!$F$13="ICAO (3000ft)",'Aircraft Calc'!D$217,'Aircraft Calc'!H$217)</f>
        <v>5</v>
      </c>
      <c r="I718" s="186">
        <f>IF(ALECA_Input!$F$13="ICAO (3000ft)",'Aircraft Calc'!E$217,'Aircraft Calc'!I$217)</f>
        <v>6</v>
      </c>
      <c r="J718" s="189">
        <v>1</v>
      </c>
      <c r="K718" s="187">
        <f t="shared" si="181"/>
        <v>4.3079999999999998</v>
      </c>
      <c r="L718" s="187">
        <f t="shared" si="182"/>
        <v>5.1402719999999999E-2</v>
      </c>
      <c r="M718" s="187">
        <f t="shared" si="183"/>
        <v>6.2070119999999986E-2</v>
      </c>
      <c r="N718" s="187">
        <f t="shared" si="184"/>
        <v>3.3566267999999999</v>
      </c>
      <c r="O718" s="187">
        <f t="shared" si="185"/>
        <v>4.8677266800000009E-3</v>
      </c>
      <c r="P718" s="188">
        <f t="shared" si="186"/>
        <v>436241658842417.69</v>
      </c>
      <c r="Q718" s="187">
        <f t="shared" si="187"/>
        <v>78</v>
      </c>
      <c r="R718" s="219">
        <f t="shared" si="188"/>
        <v>0.12792000000000001</v>
      </c>
      <c r="S718" s="219">
        <f t="shared" si="189"/>
        <v>1.2441</v>
      </c>
      <c r="T718" s="219">
        <f t="shared" si="190"/>
        <v>53.788800000000002</v>
      </c>
      <c r="U718" s="219">
        <f t="shared" si="191"/>
        <v>1.7344977000000001E-2</v>
      </c>
      <c r="V718" s="188">
        <f t="shared" si="192"/>
        <v>22542721587119.234</v>
      </c>
      <c r="W718" s="323">
        <v>0.01</v>
      </c>
      <c r="X718" s="323">
        <v>8.0000000000000002E-3</v>
      </c>
      <c r="Y718" s="323">
        <v>4.7999999999999996E-3</v>
      </c>
      <c r="Z718" s="323">
        <v>1.2999999999999999E-3</v>
      </c>
      <c r="AA718" s="323">
        <v>6.68</v>
      </c>
      <c r="AB718" s="323">
        <v>6.92</v>
      </c>
      <c r="AC718" s="323">
        <v>19.440000000000001</v>
      </c>
      <c r="AD718" s="323">
        <v>1.64</v>
      </c>
      <c r="AE718" s="323">
        <v>12.61</v>
      </c>
      <c r="AF718" s="323">
        <v>15.06</v>
      </c>
      <c r="AG718" s="323">
        <v>13.69</v>
      </c>
      <c r="AH718" s="323">
        <v>15.95</v>
      </c>
      <c r="AI718" s="323">
        <v>815.5</v>
      </c>
      <c r="AJ718" s="323">
        <v>836.6</v>
      </c>
      <c r="AK718" s="323">
        <v>695.6</v>
      </c>
      <c r="AL718" s="323">
        <v>689.6</v>
      </c>
      <c r="AM718" s="323">
        <v>0.11</v>
      </c>
      <c r="AN718" s="323">
        <v>8.4000000000000005E-2</v>
      </c>
      <c r="AO718" s="323">
        <v>5.6000000000000001E-2</v>
      </c>
      <c r="AP718" s="323">
        <v>7.4999999999999997E-2</v>
      </c>
      <c r="AQ718" s="323">
        <v>1.60911</v>
      </c>
      <c r="AR718" s="323">
        <v>1.27752</v>
      </c>
      <c r="AS718" s="323">
        <v>0.87502250000000004</v>
      </c>
      <c r="AT718" s="323">
        <v>0.2223715</v>
      </c>
      <c r="AU718" s="190">
        <v>199438848553106.91</v>
      </c>
      <c r="AV718" s="190">
        <v>152298757076918</v>
      </c>
      <c r="AW718" s="190">
        <v>20153732128619.93</v>
      </c>
      <c r="AX718" s="190">
        <v>289009251116913.25</v>
      </c>
      <c r="AY718" s="203">
        <v>0.2</v>
      </c>
      <c r="BA718" s="203">
        <v>2006</v>
      </c>
      <c r="BB718" s="204">
        <v>38828</v>
      </c>
      <c r="BC718" s="203" t="s">
        <v>2669</v>
      </c>
    </row>
    <row r="719" spans="1:55" x14ac:dyDescent="0.2">
      <c r="A719" s="184" t="s">
        <v>2670</v>
      </c>
      <c r="B719" s="184" t="s">
        <v>2670</v>
      </c>
      <c r="C719" s="184" t="s">
        <v>1025</v>
      </c>
      <c r="D719" s="185" t="s">
        <v>2614</v>
      </c>
      <c r="E719" s="184" t="s">
        <v>2671</v>
      </c>
      <c r="F719" s="184" t="s">
        <v>2672</v>
      </c>
      <c r="G719" s="186">
        <f>IF(ALECA_Input!$F$13="ICAO (3000ft)",'Aircraft Calc'!C$217,'Aircraft Calc'!G$217)</f>
        <v>0.3</v>
      </c>
      <c r="H719" s="186">
        <f>IF(ALECA_Input!$F$13="ICAO (3000ft)",'Aircraft Calc'!D$217,'Aircraft Calc'!H$217)</f>
        <v>5</v>
      </c>
      <c r="I719" s="186">
        <f>IF(ALECA_Input!$F$13="ICAO (3000ft)",'Aircraft Calc'!E$217,'Aircraft Calc'!I$217)</f>
        <v>6</v>
      </c>
      <c r="J719" s="189">
        <v>1</v>
      </c>
      <c r="K719" s="187">
        <f t="shared" si="181"/>
        <v>1.728</v>
      </c>
      <c r="L719" s="187">
        <f t="shared" si="182"/>
        <v>1.944E-3</v>
      </c>
      <c r="M719" s="187">
        <f t="shared" si="183"/>
        <v>0.74073599999999995</v>
      </c>
      <c r="N719" s="187">
        <f t="shared" si="184"/>
        <v>1.6527599999999998</v>
      </c>
      <c r="O719" s="187">
        <f t="shared" si="185"/>
        <v>5.4157322879999997E-2</v>
      </c>
      <c r="P719" s="188">
        <f t="shared" si="186"/>
        <v>2783561965654241.5</v>
      </c>
      <c r="Q719" s="187">
        <f t="shared" si="187"/>
        <v>36</v>
      </c>
      <c r="R719" s="219">
        <f t="shared" si="188"/>
        <v>0</v>
      </c>
      <c r="S719" s="219">
        <f t="shared" si="189"/>
        <v>15.947999999999999</v>
      </c>
      <c r="T719" s="219">
        <f t="shared" si="190"/>
        <v>18.54</v>
      </c>
      <c r="U719" s="219">
        <f t="shared" si="191"/>
        <v>0.15416171999999997</v>
      </c>
      <c r="V719" s="188">
        <f t="shared" si="192"/>
        <v>208086660804177.5</v>
      </c>
      <c r="W719" s="323">
        <v>4.0000000000000001E-3</v>
      </c>
      <c r="X719" s="323">
        <v>3.5999999999999999E-3</v>
      </c>
      <c r="Y719" s="323">
        <v>1.6000000000000001E-3</v>
      </c>
      <c r="Z719" s="323">
        <v>5.9999999999999995E-4</v>
      </c>
      <c r="AA719" s="323">
        <v>4</v>
      </c>
      <c r="AB719" s="323">
        <v>1</v>
      </c>
      <c r="AC719" s="323">
        <v>1</v>
      </c>
      <c r="AD719" s="323">
        <v>0</v>
      </c>
      <c r="AE719" s="323">
        <v>380</v>
      </c>
      <c r="AF719" s="323">
        <v>404</v>
      </c>
      <c r="AG719" s="323">
        <v>481</v>
      </c>
      <c r="AH719" s="323">
        <v>443</v>
      </c>
      <c r="AI719" s="323">
        <v>826</v>
      </c>
      <c r="AJ719" s="323">
        <v>1047</v>
      </c>
      <c r="AK719" s="323">
        <v>803</v>
      </c>
      <c r="AL719" s="323">
        <v>515</v>
      </c>
      <c r="AM719" s="323">
        <v>1.1000000000000001</v>
      </c>
      <c r="AN719" s="323">
        <v>1.2</v>
      </c>
      <c r="AO719" s="323">
        <v>1.4</v>
      </c>
      <c r="AP719" s="323">
        <v>1.5</v>
      </c>
      <c r="AQ719" s="323">
        <v>44.848959999999998</v>
      </c>
      <c r="AR719" s="323">
        <v>31.952960000000001</v>
      </c>
      <c r="AS719" s="323">
        <v>28.505210000000002</v>
      </c>
      <c r="AT719" s="323">
        <v>4.2822699999999996</v>
      </c>
      <c r="AU719" s="190">
        <v>1994388485531069</v>
      </c>
      <c r="AV719" s="190">
        <v>2175696529670257.3</v>
      </c>
      <c r="AW719" s="190">
        <v>503843303215498.19</v>
      </c>
      <c r="AX719" s="190">
        <v>5780185022338264</v>
      </c>
      <c r="AY719" s="203">
        <v>0.2</v>
      </c>
      <c r="BA719" s="203">
        <v>2000</v>
      </c>
      <c r="BB719" s="204">
        <v>39003</v>
      </c>
      <c r="BC719" s="203" t="s">
        <v>716</v>
      </c>
    </row>
    <row r="720" spans="1:55" x14ac:dyDescent="0.2">
      <c r="A720" s="184" t="s">
        <v>2673</v>
      </c>
      <c r="B720" s="184" t="s">
        <v>2673</v>
      </c>
      <c r="C720" s="184" t="s">
        <v>2676</v>
      </c>
      <c r="D720" s="185" t="s">
        <v>2614</v>
      </c>
      <c r="E720" s="184" t="s">
        <v>2674</v>
      </c>
      <c r="F720" s="184" t="s">
        <v>2675</v>
      </c>
      <c r="G720" s="186">
        <f>IF(ALECA_Input!$F$13="ICAO (3000ft)",'Aircraft Calc'!C$217,'Aircraft Calc'!G$217)</f>
        <v>0.3</v>
      </c>
      <c r="H720" s="186">
        <f>IF(ALECA_Input!$F$13="ICAO (3000ft)",'Aircraft Calc'!D$217,'Aircraft Calc'!H$217)</f>
        <v>5</v>
      </c>
      <c r="I720" s="186">
        <f>IF(ALECA_Input!$F$13="ICAO (3000ft)",'Aircraft Calc'!E$217,'Aircraft Calc'!I$217)</f>
        <v>6</v>
      </c>
      <c r="J720" s="189">
        <v>1</v>
      </c>
      <c r="K720" s="187">
        <f t="shared" si="181"/>
        <v>2.5451999999999999</v>
      </c>
      <c r="L720" s="187">
        <f t="shared" si="182"/>
        <v>6.1422551999999998E-2</v>
      </c>
      <c r="M720" s="187">
        <f t="shared" si="183"/>
        <v>4.99446E-3</v>
      </c>
      <c r="N720" s="187">
        <f t="shared" si="184"/>
        <v>2.5493651999999999E-2</v>
      </c>
      <c r="O720" s="187">
        <f t="shared" si="185"/>
        <v>6.4202164200000003E-4</v>
      </c>
      <c r="P720" s="188">
        <f t="shared" si="186"/>
        <v>274130812596760.38</v>
      </c>
      <c r="Q720" s="187">
        <f t="shared" si="187"/>
        <v>18</v>
      </c>
      <c r="R720" s="219">
        <f t="shared" si="188"/>
        <v>0.30437999999999998</v>
      </c>
      <c r="S720" s="219">
        <f t="shared" si="189"/>
        <v>0.17603999999999997</v>
      </c>
      <c r="T720" s="219">
        <f t="shared" si="190"/>
        <v>0.44639999999999996</v>
      </c>
      <c r="U720" s="219">
        <f t="shared" si="191"/>
        <v>3.3174467999999998E-3</v>
      </c>
      <c r="V720" s="188">
        <f t="shared" si="192"/>
        <v>5202166520104.4385</v>
      </c>
      <c r="W720" s="323">
        <v>6.4000000000000003E-3</v>
      </c>
      <c r="X720" s="323">
        <v>5.1000000000000004E-3</v>
      </c>
      <c r="Y720" s="323">
        <v>2.5000000000000001E-3</v>
      </c>
      <c r="Z720" s="323">
        <v>2.9999999999999997E-4</v>
      </c>
      <c r="AA720" s="323">
        <v>20.010000000000002</v>
      </c>
      <c r="AB720" s="323">
        <v>22.78</v>
      </c>
      <c r="AC720" s="323">
        <v>26.96</v>
      </c>
      <c r="AD720" s="323">
        <v>16.91</v>
      </c>
      <c r="AE720" s="323">
        <v>1.05</v>
      </c>
      <c r="AF720" s="323">
        <v>1.25</v>
      </c>
      <c r="AG720" s="323">
        <v>3.29</v>
      </c>
      <c r="AH720" s="323">
        <v>9.7799999999999994</v>
      </c>
      <c r="AI720" s="323">
        <v>7.51</v>
      </c>
      <c r="AJ720" s="323">
        <v>6.65</v>
      </c>
      <c r="AK720" s="323">
        <v>16.059999999999999</v>
      </c>
      <c r="AL720" s="323">
        <v>24.8</v>
      </c>
      <c r="AM720" s="323">
        <v>0.11</v>
      </c>
      <c r="AN720" s="323">
        <v>8.4000000000000005E-2</v>
      </c>
      <c r="AO720" s="323">
        <v>5.6000000000000001E-2</v>
      </c>
      <c r="AP720" s="323">
        <v>7.4999999999999997E-2</v>
      </c>
      <c r="AQ720" s="323">
        <v>0.27971000000000001</v>
      </c>
      <c r="AR720" s="323">
        <v>0.22796</v>
      </c>
      <c r="AS720" s="323">
        <v>0.29002250000000002</v>
      </c>
      <c r="AT720" s="323">
        <v>0.18430260000000001</v>
      </c>
      <c r="AU720" s="190">
        <v>199438848553106.91</v>
      </c>
      <c r="AV720" s="190">
        <v>152298757076918</v>
      </c>
      <c r="AW720" s="190">
        <v>20153732128619.93</v>
      </c>
      <c r="AX720" s="190">
        <v>289009251116913.25</v>
      </c>
      <c r="AY720" s="203">
        <v>0.1</v>
      </c>
      <c r="BA720" s="203">
        <v>2006</v>
      </c>
      <c r="BB720" s="204">
        <v>38827</v>
      </c>
      <c r="BC720" s="203" t="s">
        <v>2677</v>
      </c>
    </row>
    <row r="721" spans="1:55" x14ac:dyDescent="0.2">
      <c r="A721" s="184" t="s">
        <v>2678</v>
      </c>
      <c r="B721" s="184" t="s">
        <v>2678</v>
      </c>
      <c r="C721" s="184" t="s">
        <v>1008</v>
      </c>
      <c r="D721" s="185" t="s">
        <v>2614</v>
      </c>
      <c r="E721" s="184" t="s">
        <v>2679</v>
      </c>
      <c r="F721" s="184" t="s">
        <v>2680</v>
      </c>
      <c r="G721" s="186">
        <f>IF(ALECA_Input!$F$13="ICAO (3000ft)",'Aircraft Calc'!C$217,'Aircraft Calc'!G$217)</f>
        <v>0.3</v>
      </c>
      <c r="H721" s="186">
        <f>IF(ALECA_Input!$F$13="ICAO (3000ft)",'Aircraft Calc'!D$217,'Aircraft Calc'!H$217)</f>
        <v>5</v>
      </c>
      <c r="I721" s="186">
        <f>IF(ALECA_Input!$F$13="ICAO (3000ft)",'Aircraft Calc'!E$217,'Aircraft Calc'!I$217)</f>
        <v>6</v>
      </c>
      <c r="J721" s="189">
        <v>1</v>
      </c>
      <c r="K721" s="187">
        <f t="shared" si="181"/>
        <v>6.8748000000000005</v>
      </c>
      <c r="L721" s="187">
        <f t="shared" si="182"/>
        <v>4.4987999999999998E-3</v>
      </c>
      <c r="M721" s="187">
        <f t="shared" si="183"/>
        <v>0.219552</v>
      </c>
      <c r="N721" s="187">
        <f t="shared" si="184"/>
        <v>8.9357075999999989</v>
      </c>
      <c r="O721" s="187">
        <f t="shared" si="185"/>
        <v>1.5381104208000001E-2</v>
      </c>
      <c r="P721" s="188">
        <f t="shared" si="186"/>
        <v>747132375208325</v>
      </c>
      <c r="Q721" s="187">
        <f t="shared" si="187"/>
        <v>96</v>
      </c>
      <c r="R721" s="219">
        <f t="shared" si="188"/>
        <v>0</v>
      </c>
      <c r="S721" s="219">
        <f t="shared" si="189"/>
        <v>3.0720000000000001</v>
      </c>
      <c r="T721" s="219">
        <f t="shared" si="190"/>
        <v>116.16</v>
      </c>
      <c r="U721" s="219">
        <f t="shared" si="191"/>
        <v>3.0854400000000004E-2</v>
      </c>
      <c r="V721" s="188">
        <f t="shared" si="192"/>
        <v>27744888107223.672</v>
      </c>
      <c r="W721" s="323">
        <v>1.66E-2</v>
      </c>
      <c r="X721" s="323">
        <v>1.4E-2</v>
      </c>
      <c r="Y721" s="323">
        <v>6.6E-3</v>
      </c>
      <c r="Z721" s="323">
        <v>1.6000000000000001E-3</v>
      </c>
      <c r="AA721" s="323">
        <v>1</v>
      </c>
      <c r="AB721" s="323">
        <v>1</v>
      </c>
      <c r="AC721" s="323">
        <v>0</v>
      </c>
      <c r="AD721" s="323">
        <v>0</v>
      </c>
      <c r="AE721" s="323">
        <v>20</v>
      </c>
      <c r="AF721" s="323">
        <v>22</v>
      </c>
      <c r="AG721" s="323">
        <v>51</v>
      </c>
      <c r="AH721" s="323">
        <v>32</v>
      </c>
      <c r="AI721" s="323">
        <v>1327</v>
      </c>
      <c r="AJ721" s="323">
        <v>1227</v>
      </c>
      <c r="AK721" s="323">
        <v>1425</v>
      </c>
      <c r="AL721" s="323">
        <v>1210</v>
      </c>
      <c r="AM721" s="323">
        <v>0.11</v>
      </c>
      <c r="AN721" s="323">
        <v>8.4000000000000005E-2</v>
      </c>
      <c r="AO721" s="323">
        <v>5.6000000000000001E-2</v>
      </c>
      <c r="AP721" s="323">
        <v>7.4999999999999997E-2</v>
      </c>
      <c r="AQ721" s="323">
        <v>2.4589599999999998</v>
      </c>
      <c r="AR721" s="323">
        <v>1.8049599999999999</v>
      </c>
      <c r="AS721" s="323">
        <v>2.9737100000000001</v>
      </c>
      <c r="AT721" s="323">
        <v>0.32140000000000002</v>
      </c>
      <c r="AU721" s="190">
        <v>199438848553106.91</v>
      </c>
      <c r="AV721" s="190">
        <v>152298757076918</v>
      </c>
      <c r="AW721" s="190">
        <v>20153732128619.93</v>
      </c>
      <c r="AX721" s="190">
        <v>289009251116913.25</v>
      </c>
      <c r="AY721" s="203">
        <v>0.4</v>
      </c>
      <c r="BA721" s="203">
        <v>2006</v>
      </c>
      <c r="BB721" s="204">
        <v>39027</v>
      </c>
      <c r="BC721" s="203" t="s">
        <v>716</v>
      </c>
    </row>
    <row r="722" spans="1:55" x14ac:dyDescent="0.2">
      <c r="A722" s="184" t="s">
        <v>2681</v>
      </c>
      <c r="B722" s="184" t="s">
        <v>2681</v>
      </c>
      <c r="C722" s="184" t="s">
        <v>1008</v>
      </c>
      <c r="D722" s="185" t="s">
        <v>2614</v>
      </c>
      <c r="E722" s="184" t="s">
        <v>2682</v>
      </c>
      <c r="F722" s="184" t="s">
        <v>2683</v>
      </c>
      <c r="G722" s="186">
        <f>IF(ALECA_Input!$F$13="ICAO (3000ft)",'Aircraft Calc'!C$217,'Aircraft Calc'!G$217)</f>
        <v>0.3</v>
      </c>
      <c r="H722" s="186">
        <f>IF(ALECA_Input!$F$13="ICAO (3000ft)",'Aircraft Calc'!D$217,'Aircraft Calc'!H$217)</f>
        <v>5</v>
      </c>
      <c r="I722" s="186">
        <f>IF(ALECA_Input!$F$13="ICAO (3000ft)",'Aircraft Calc'!E$217,'Aircraft Calc'!I$217)</f>
        <v>6</v>
      </c>
      <c r="J722" s="189">
        <v>1</v>
      </c>
      <c r="K722" s="187">
        <f t="shared" si="181"/>
        <v>7.4046000000000003</v>
      </c>
      <c r="L722" s="187">
        <f t="shared" si="182"/>
        <v>3.0205800000000005E-2</v>
      </c>
      <c r="M722" s="187">
        <f t="shared" si="183"/>
        <v>0.10976153999999999</v>
      </c>
      <c r="N722" s="187">
        <f t="shared" si="184"/>
        <v>6.8277419999999998</v>
      </c>
      <c r="O722" s="187">
        <f t="shared" si="185"/>
        <v>8.5649633160000006E-3</v>
      </c>
      <c r="P722" s="188">
        <f t="shared" si="186"/>
        <v>789847341687223.38</v>
      </c>
      <c r="Q722" s="187">
        <f t="shared" si="187"/>
        <v>150</v>
      </c>
      <c r="R722" s="219">
        <f t="shared" si="188"/>
        <v>0.15</v>
      </c>
      <c r="S722" s="219">
        <f t="shared" si="189"/>
        <v>6.84</v>
      </c>
      <c r="T722" s="219">
        <f t="shared" si="190"/>
        <v>150</v>
      </c>
      <c r="U722" s="219">
        <f t="shared" si="191"/>
        <v>6.0796799999999998E-2</v>
      </c>
      <c r="V722" s="188">
        <f t="shared" si="192"/>
        <v>43351387667536.984</v>
      </c>
      <c r="W722" s="323">
        <v>1.67E-2</v>
      </c>
      <c r="X722" s="323">
        <v>1.4800000000000001E-2</v>
      </c>
      <c r="Y722" s="323">
        <v>7.4000000000000003E-3</v>
      </c>
      <c r="Z722" s="323">
        <v>2.5000000000000001E-3</v>
      </c>
      <c r="AA722" s="323">
        <v>3</v>
      </c>
      <c r="AB722" s="323">
        <v>3</v>
      </c>
      <c r="AC722" s="323">
        <v>6</v>
      </c>
      <c r="AD722" s="323">
        <v>1</v>
      </c>
      <c r="AE722" s="323">
        <v>13.9</v>
      </c>
      <c r="AF722" s="323">
        <v>14</v>
      </c>
      <c r="AG722" s="323">
        <v>16.3</v>
      </c>
      <c r="AH722" s="323">
        <v>45.6</v>
      </c>
      <c r="AI722" s="323">
        <v>1010</v>
      </c>
      <c r="AJ722" s="323">
        <v>978</v>
      </c>
      <c r="AK722" s="323">
        <v>819</v>
      </c>
      <c r="AL722" s="323">
        <v>1000</v>
      </c>
      <c r="AM722" s="323">
        <v>0.11</v>
      </c>
      <c r="AN722" s="323">
        <v>8.4000000000000005E-2</v>
      </c>
      <c r="AO722" s="323">
        <v>5.6000000000000001E-2</v>
      </c>
      <c r="AP722" s="323">
        <v>7.4999999999999997E-2</v>
      </c>
      <c r="AQ722" s="323">
        <v>1.75746</v>
      </c>
      <c r="AR722" s="323">
        <v>1.19696</v>
      </c>
      <c r="AS722" s="323">
        <v>1.021835</v>
      </c>
      <c r="AT722" s="323">
        <v>0.40531200000000001</v>
      </c>
      <c r="AU722" s="190">
        <v>199438848553106.91</v>
      </c>
      <c r="AV722" s="190">
        <v>152298757076918</v>
      </c>
      <c r="AW722" s="190">
        <v>20153732128619.93</v>
      </c>
      <c r="AX722" s="190">
        <v>289009251116913.25</v>
      </c>
      <c r="AY722" s="203">
        <v>0.4</v>
      </c>
      <c r="BA722" s="203">
        <v>2006</v>
      </c>
      <c r="BB722" s="204">
        <v>39066</v>
      </c>
      <c r="BC722" s="203" t="s">
        <v>716</v>
      </c>
    </row>
    <row r="723" spans="1:55" x14ac:dyDescent="0.2">
      <c r="A723" s="184" t="s">
        <v>2684</v>
      </c>
      <c r="B723" s="184" t="s">
        <v>2684</v>
      </c>
      <c r="C723" s="184" t="s">
        <v>2676</v>
      </c>
      <c r="D723" s="185" t="s">
        <v>2614</v>
      </c>
      <c r="E723" s="184" t="s">
        <v>2685</v>
      </c>
      <c r="F723" s="184" t="s">
        <v>2685</v>
      </c>
      <c r="G723" s="186">
        <f>IF(ALECA_Input!$F$13="ICAO (3000ft)",'Aircraft Calc'!C$217,'Aircraft Calc'!G$217)</f>
        <v>0.3</v>
      </c>
      <c r="H723" s="186">
        <f>IF(ALECA_Input!$F$13="ICAO (3000ft)",'Aircraft Calc'!D$217,'Aircraft Calc'!H$217)</f>
        <v>5</v>
      </c>
      <c r="I723" s="186">
        <f>IF(ALECA_Input!$F$13="ICAO (3000ft)",'Aircraft Calc'!E$217,'Aircraft Calc'!I$217)</f>
        <v>6</v>
      </c>
      <c r="J723" s="189">
        <v>1</v>
      </c>
      <c r="K723" s="187">
        <f t="shared" si="181"/>
        <v>37.452600000000004</v>
      </c>
      <c r="L723" s="187">
        <f t="shared" si="182"/>
        <v>0.86116512599999995</v>
      </c>
      <c r="M723" s="187">
        <f t="shared" si="183"/>
        <v>5.1022350000000001E-2</v>
      </c>
      <c r="N723" s="187">
        <f t="shared" si="184"/>
        <v>0.26893542600000003</v>
      </c>
      <c r="O723" s="187">
        <f t="shared" si="185"/>
        <v>8.6809742459999992E-3</v>
      </c>
      <c r="P723" s="188">
        <f t="shared" si="186"/>
        <v>5440538885411532</v>
      </c>
      <c r="Q723" s="187">
        <f t="shared" si="187"/>
        <v>42</v>
      </c>
      <c r="R723" s="219">
        <f t="shared" si="188"/>
        <v>0.71022000000000007</v>
      </c>
      <c r="S723" s="219">
        <f t="shared" si="189"/>
        <v>0.41076000000000001</v>
      </c>
      <c r="T723" s="219">
        <f t="shared" si="190"/>
        <v>1.0416000000000001</v>
      </c>
      <c r="U723" s="219">
        <f t="shared" si="191"/>
        <v>7.7407092000000011E-3</v>
      </c>
      <c r="V723" s="188">
        <f t="shared" si="192"/>
        <v>12138388546910.357</v>
      </c>
      <c r="W723" s="323">
        <v>1.47E-2</v>
      </c>
      <c r="X723" s="323">
        <v>0.11700000000000001</v>
      </c>
      <c r="Y723" s="323">
        <v>5.7999999999999996E-3</v>
      </c>
      <c r="Z723" s="323">
        <v>6.9999999999999999E-4</v>
      </c>
      <c r="AA723" s="323">
        <v>20.010000000000002</v>
      </c>
      <c r="AB723" s="323">
        <v>22.78</v>
      </c>
      <c r="AC723" s="323">
        <v>26.96</v>
      </c>
      <c r="AD723" s="323">
        <v>16.91</v>
      </c>
      <c r="AE723" s="323">
        <v>1.05</v>
      </c>
      <c r="AF723" s="323">
        <v>1.25</v>
      </c>
      <c r="AG723" s="323">
        <v>3.29</v>
      </c>
      <c r="AH723" s="323">
        <v>9.7799999999999994</v>
      </c>
      <c r="AI723" s="323">
        <v>7.51</v>
      </c>
      <c r="AJ723" s="323">
        <v>6.65</v>
      </c>
      <c r="AK723" s="323">
        <v>16.059999999999999</v>
      </c>
      <c r="AL723" s="323">
        <v>24.8</v>
      </c>
      <c r="AM723" s="323">
        <v>0.11</v>
      </c>
      <c r="AN723" s="323">
        <v>8.4000000000000005E-2</v>
      </c>
      <c r="AO723" s="323">
        <v>5.6000000000000001E-2</v>
      </c>
      <c r="AP723" s="323">
        <v>7.4999999999999997E-2</v>
      </c>
      <c r="AQ723" s="323">
        <v>0.27971000000000001</v>
      </c>
      <c r="AR723" s="323">
        <v>0.22796</v>
      </c>
      <c r="AS723" s="323">
        <v>0.29002250000000002</v>
      </c>
      <c r="AT723" s="323">
        <v>0.18430260000000001</v>
      </c>
      <c r="AU723" s="190">
        <v>199438848553106.91</v>
      </c>
      <c r="AV723" s="190">
        <v>152298757076918</v>
      </c>
      <c r="AW723" s="190">
        <v>20153732128619.93</v>
      </c>
      <c r="AX723" s="190">
        <v>289009251116913.25</v>
      </c>
      <c r="AY723" s="203">
        <v>0.2</v>
      </c>
      <c r="BB723" s="204">
        <v>40001</v>
      </c>
      <c r="BC723" s="203" t="s">
        <v>2686</v>
      </c>
    </row>
    <row r="724" spans="1:55" x14ac:dyDescent="0.2">
      <c r="A724" s="184" t="s">
        <v>2687</v>
      </c>
      <c r="B724" s="184" t="s">
        <v>2687</v>
      </c>
      <c r="C724" s="184" t="s">
        <v>2689</v>
      </c>
      <c r="D724" s="185" t="s">
        <v>2614</v>
      </c>
      <c r="E724" s="184" t="s">
        <v>2688</v>
      </c>
      <c r="F724" s="184" t="s">
        <v>3225</v>
      </c>
      <c r="G724" s="186">
        <f>IF(ALECA_Input!$F$13="ICAO (3000ft)",'Aircraft Calc'!C$217,'Aircraft Calc'!G$217)</f>
        <v>0.3</v>
      </c>
      <c r="H724" s="186">
        <f>IF(ALECA_Input!$F$13="ICAO (3000ft)",'Aircraft Calc'!D$217,'Aircraft Calc'!H$217)</f>
        <v>5</v>
      </c>
      <c r="I724" s="186">
        <f>IF(ALECA_Input!$F$13="ICAO (3000ft)",'Aircraft Calc'!E$217,'Aircraft Calc'!I$217)</f>
        <v>6</v>
      </c>
      <c r="J724" s="189">
        <v>1</v>
      </c>
      <c r="K724" s="187">
        <f t="shared" si="181"/>
        <v>3.2945999999999991</v>
      </c>
      <c r="L724" s="187">
        <f t="shared" si="182"/>
        <v>6.5891999999999978E-2</v>
      </c>
      <c r="M724" s="187">
        <f t="shared" si="183"/>
        <v>5.5265999999999996E-3</v>
      </c>
      <c r="N724" s="187">
        <f t="shared" si="184"/>
        <v>3.3106199999999995E-2</v>
      </c>
      <c r="O724" s="187">
        <f t="shared" si="185"/>
        <v>7.6970961599999986E-4</v>
      </c>
      <c r="P724" s="188">
        <f t="shared" si="186"/>
        <v>360823253901913.13</v>
      </c>
      <c r="Q724" s="187">
        <f t="shared" si="187"/>
        <v>24</v>
      </c>
      <c r="R724" s="219">
        <f t="shared" si="188"/>
        <v>0.38400000000000001</v>
      </c>
      <c r="S724" s="219">
        <f t="shared" si="189"/>
        <v>0.24</v>
      </c>
      <c r="T724" s="219">
        <f t="shared" si="190"/>
        <v>0.57600000000000007</v>
      </c>
      <c r="U724" s="219">
        <f t="shared" si="191"/>
        <v>4.45584E-3</v>
      </c>
      <c r="V724" s="188">
        <f t="shared" si="192"/>
        <v>6936222026805.918</v>
      </c>
      <c r="W724" s="323">
        <v>7.7000000000000002E-3</v>
      </c>
      <c r="X724" s="323">
        <v>6.7999999999999996E-3</v>
      </c>
      <c r="Y724" s="323">
        <v>3.0999999999999999E-3</v>
      </c>
      <c r="Z724" s="323">
        <v>4.0000000000000002E-4</v>
      </c>
      <c r="AA724" s="323">
        <v>20</v>
      </c>
      <c r="AB724" s="323">
        <v>20</v>
      </c>
      <c r="AC724" s="323">
        <v>20</v>
      </c>
      <c r="AD724" s="323">
        <v>16</v>
      </c>
      <c r="AE724" s="323">
        <v>1</v>
      </c>
      <c r="AF724" s="323">
        <v>1</v>
      </c>
      <c r="AG724" s="323">
        <v>3</v>
      </c>
      <c r="AH724" s="323">
        <v>10</v>
      </c>
      <c r="AI724" s="323">
        <v>7</v>
      </c>
      <c r="AJ724" s="323">
        <v>7</v>
      </c>
      <c r="AK724" s="323">
        <v>16</v>
      </c>
      <c r="AL724" s="323">
        <v>24</v>
      </c>
      <c r="AM724" s="323">
        <v>0.11</v>
      </c>
      <c r="AN724" s="323">
        <v>8.4000000000000005E-2</v>
      </c>
      <c r="AO724" s="323">
        <v>5.6000000000000001E-2</v>
      </c>
      <c r="AP724" s="323">
        <v>7.4999999999999997E-2</v>
      </c>
      <c r="AQ724" s="323">
        <v>0.27395999999999998</v>
      </c>
      <c r="AR724" s="323">
        <v>0.20896000000000001</v>
      </c>
      <c r="AS724" s="323">
        <v>0.27371000000000001</v>
      </c>
      <c r="AT724" s="323">
        <v>0.18565999999999999</v>
      </c>
      <c r="AU724" s="190">
        <v>199438848553106.91</v>
      </c>
      <c r="AV724" s="190">
        <v>152298757076918</v>
      </c>
      <c r="AW724" s="190">
        <v>20153732128619.93</v>
      </c>
      <c r="AX724" s="190">
        <v>289009251116913.25</v>
      </c>
      <c r="AY724" s="203">
        <v>0.1</v>
      </c>
      <c r="BB724" s="204">
        <v>40030</v>
      </c>
      <c r="BC724" s="203" t="s">
        <v>2686</v>
      </c>
    </row>
    <row r="725" spans="1:55" x14ac:dyDescent="0.2">
      <c r="A725" s="184" t="s">
        <v>2691</v>
      </c>
      <c r="B725" s="184" t="s">
        <v>2690</v>
      </c>
      <c r="C725" s="184" t="s">
        <v>715</v>
      </c>
      <c r="D725" s="185" t="s">
        <v>2692</v>
      </c>
      <c r="E725" s="184" t="s">
        <v>2693</v>
      </c>
      <c r="F725" s="184" t="s">
        <v>2694</v>
      </c>
      <c r="G725" s="186">
        <f>IF(ALECA_Input!$F$13="ICAO (3000ft)",'Aircraft Calc'!C$216,'Aircraft Calc'!G$216)</f>
        <v>0.5</v>
      </c>
      <c r="H725" s="186">
        <f>IF(ALECA_Input!$F$13="ICAO (3000ft)",'Aircraft Calc'!D$216,'Aircraft Calc'!H$216)</f>
        <v>2.5</v>
      </c>
      <c r="I725" s="186">
        <f>IF(ALECA_Input!$F$13="ICAO (3000ft)",'Aircraft Calc'!E$216,'Aircraft Calc'!I$216)</f>
        <v>4.5</v>
      </c>
      <c r="J725" s="189">
        <v>1</v>
      </c>
      <c r="K725" s="187">
        <f t="shared" si="181"/>
        <v>15.378</v>
      </c>
      <c r="L725" s="187">
        <f t="shared" si="182"/>
        <v>7.7951400000000004E-2</v>
      </c>
      <c r="M725" s="187">
        <f t="shared" si="183"/>
        <v>0.12630270000000002</v>
      </c>
      <c r="N725" s="187">
        <f t="shared" si="184"/>
        <v>0.1942284</v>
      </c>
      <c r="O725" s="187">
        <f t="shared" si="185"/>
        <v>1.163771418E-2</v>
      </c>
      <c r="P725" s="188">
        <f t="shared" si="186"/>
        <v>1.0050998581384496E+17</v>
      </c>
      <c r="Q725" s="187">
        <f t="shared" si="187"/>
        <v>756</v>
      </c>
      <c r="R725" s="219">
        <f t="shared" si="188"/>
        <v>1.512</v>
      </c>
      <c r="S725" s="219">
        <f t="shared" si="189"/>
        <v>76.733999999999995</v>
      </c>
      <c r="T725" s="219">
        <f t="shared" si="190"/>
        <v>51.181200000000004</v>
      </c>
      <c r="U725" s="219">
        <f t="shared" si="191"/>
        <v>0.63973854000000008</v>
      </c>
      <c r="V725" s="188">
        <f t="shared" si="192"/>
        <v>7325995376417474</v>
      </c>
      <c r="W725" s="323">
        <v>5.28E-2</v>
      </c>
      <c r="X725" s="323">
        <v>4.6600000000000003E-2</v>
      </c>
      <c r="Y725" s="323">
        <v>2.52E-2</v>
      </c>
      <c r="Z725" s="323">
        <v>1.26E-2</v>
      </c>
      <c r="AA725" s="323">
        <v>6.4</v>
      </c>
      <c r="AB725" s="323">
        <v>6.1000000000000005</v>
      </c>
      <c r="AC725" s="323">
        <v>3.7</v>
      </c>
      <c r="AD725" s="323">
        <v>2</v>
      </c>
      <c r="AE725" s="323">
        <v>0.05</v>
      </c>
      <c r="AF725" s="323">
        <v>0.05</v>
      </c>
      <c r="AG725" s="323">
        <v>18.5</v>
      </c>
      <c r="AH725" s="323">
        <v>101.5</v>
      </c>
      <c r="AI725" s="323">
        <v>1.9000000000000001</v>
      </c>
      <c r="AJ725" s="323">
        <v>3.8000000000000003</v>
      </c>
      <c r="AK725" s="323">
        <v>24.2</v>
      </c>
      <c r="AL725" s="323">
        <v>67.7</v>
      </c>
      <c r="AM725" s="323">
        <v>0.26840000000000003</v>
      </c>
      <c r="AN725" s="323">
        <v>0.2712</v>
      </c>
      <c r="AO725" s="323">
        <v>0.21279999999999999</v>
      </c>
      <c r="AP725" s="323">
        <v>0.17100000000000001</v>
      </c>
      <c r="AQ725" s="323">
        <v>0.32311000000000001</v>
      </c>
      <c r="AR725" s="323">
        <v>0.32396000000000003</v>
      </c>
      <c r="AS725" s="323">
        <v>1.3023849999999999</v>
      </c>
      <c r="AT725" s="323">
        <v>0.84621500000000005</v>
      </c>
      <c r="AU725" s="190">
        <v>1765507889678722.3</v>
      </c>
      <c r="AV725" s="190">
        <v>2240668540875270.5</v>
      </c>
      <c r="AW725" s="190">
        <v>1.2059251648423826E+16</v>
      </c>
      <c r="AX725" s="190">
        <v>9690470074626288</v>
      </c>
      <c r="AY725" s="203">
        <v>0.1</v>
      </c>
      <c r="BB725" s="204">
        <v>37449</v>
      </c>
      <c r="BC725" s="203" t="s">
        <v>3226</v>
      </c>
    </row>
    <row r="726" spans="1:55" x14ac:dyDescent="0.2">
      <c r="A726" s="184" t="s">
        <v>2696</v>
      </c>
      <c r="B726" s="184" t="s">
        <v>2695</v>
      </c>
      <c r="C726" s="184" t="s">
        <v>715</v>
      </c>
      <c r="D726" s="185" t="s">
        <v>2692</v>
      </c>
      <c r="E726" s="184" t="s">
        <v>2697</v>
      </c>
      <c r="F726" s="184" t="s">
        <v>2698</v>
      </c>
      <c r="G726" s="186">
        <f>IF(ALECA_Input!$F$13="ICAO (3000ft)",'Aircraft Calc'!C$216,'Aircraft Calc'!G$216)</f>
        <v>0.5</v>
      </c>
      <c r="H726" s="186">
        <f>IF(ALECA_Input!$F$13="ICAO (3000ft)",'Aircraft Calc'!D$216,'Aircraft Calc'!H$216)</f>
        <v>2.5</v>
      </c>
      <c r="I726" s="186">
        <f>IF(ALECA_Input!$F$13="ICAO (3000ft)",'Aircraft Calc'!E$216,'Aircraft Calc'!I$216)</f>
        <v>4.5</v>
      </c>
      <c r="J726" s="189">
        <v>1</v>
      </c>
      <c r="K726" s="187">
        <f t="shared" si="181"/>
        <v>29.279999999999998</v>
      </c>
      <c r="L726" s="187">
        <f t="shared" si="182"/>
        <v>0.31176900000000002</v>
      </c>
      <c r="M726" s="187">
        <f t="shared" si="183"/>
        <v>3.5354999999999998E-2</v>
      </c>
      <c r="N726" s="187">
        <f t="shared" si="184"/>
        <v>0.11004</v>
      </c>
      <c r="O726" s="187">
        <f t="shared" si="185"/>
        <v>1.4714791049999999E-2</v>
      </c>
      <c r="P726" s="188">
        <f t="shared" si="186"/>
        <v>2.652961511237689E+17</v>
      </c>
      <c r="Q726" s="187">
        <f t="shared" si="187"/>
        <v>899.99999999999989</v>
      </c>
      <c r="R726" s="219">
        <f t="shared" si="188"/>
        <v>1.98</v>
      </c>
      <c r="S726" s="219">
        <f t="shared" si="189"/>
        <v>3.5999999999999996</v>
      </c>
      <c r="T726" s="219">
        <f t="shared" si="190"/>
        <v>31.859999999999996</v>
      </c>
      <c r="U726" s="219">
        <f t="shared" si="191"/>
        <v>0.24177599999999996</v>
      </c>
      <c r="V726" s="188">
        <f t="shared" si="192"/>
        <v>9945482445011188</v>
      </c>
      <c r="W726" s="323">
        <v>0.10100000000000001</v>
      </c>
      <c r="X726" s="323">
        <v>9.4E-2</v>
      </c>
      <c r="Y726" s="323">
        <v>4.4999999999999998E-2</v>
      </c>
      <c r="Z726" s="323">
        <v>1.4999999999999999E-2</v>
      </c>
      <c r="AA726" s="323">
        <v>13.8</v>
      </c>
      <c r="AB726" s="323">
        <v>13.200000000000001</v>
      </c>
      <c r="AC726" s="323">
        <v>6.9</v>
      </c>
      <c r="AD726" s="323">
        <v>2.2000000000000002</v>
      </c>
      <c r="AE726" s="323">
        <v>1</v>
      </c>
      <c r="AF726" s="323">
        <v>1</v>
      </c>
      <c r="AG726" s="323">
        <v>1.5</v>
      </c>
      <c r="AH726" s="323">
        <v>4</v>
      </c>
      <c r="AI726" s="323">
        <v>2.5</v>
      </c>
      <c r="AJ726" s="323">
        <v>2.7</v>
      </c>
      <c r="AK726" s="323">
        <v>5.3</v>
      </c>
      <c r="AL726" s="323">
        <v>35.4</v>
      </c>
      <c r="AM726" s="323">
        <v>0.40920000000000001</v>
      </c>
      <c r="AN726" s="323">
        <v>0.42</v>
      </c>
      <c r="AO726" s="323">
        <v>0.3024</v>
      </c>
      <c r="AP726" s="323">
        <v>0.19500000000000001</v>
      </c>
      <c r="AQ726" s="323">
        <v>0.57316</v>
      </c>
      <c r="AR726" s="323">
        <v>0.54496</v>
      </c>
      <c r="AS726" s="323">
        <v>0.43573499999999998</v>
      </c>
      <c r="AT726" s="323">
        <v>0.26863999999999999</v>
      </c>
      <c r="AU726" s="190">
        <v>2691675962952806.5</v>
      </c>
      <c r="AV726" s="190">
        <v>3470061899585596</v>
      </c>
      <c r="AW726" s="190">
        <v>1.7136831289865434E+16</v>
      </c>
      <c r="AX726" s="190">
        <v>1.1050536050012432E+16</v>
      </c>
      <c r="AY726" s="203">
        <v>0.3</v>
      </c>
      <c r="BB726" s="204">
        <v>35684</v>
      </c>
      <c r="BC726" s="203" t="s">
        <v>3227</v>
      </c>
    </row>
    <row r="727" spans="1:55" x14ac:dyDescent="0.2">
      <c r="A727" s="184" t="s">
        <v>283</v>
      </c>
      <c r="B727" s="184" t="s">
        <v>2699</v>
      </c>
      <c r="C727" s="184" t="s">
        <v>723</v>
      </c>
      <c r="D727" s="185" t="s">
        <v>2692</v>
      </c>
      <c r="E727" s="184" t="s">
        <v>283</v>
      </c>
      <c r="F727" s="184" t="s">
        <v>283</v>
      </c>
      <c r="G727" s="186">
        <f>IF(ALECA_Input!$F$13="ICAO (3000ft)",'Aircraft Calc'!C$216,'Aircraft Calc'!G$216)</f>
        <v>0.5</v>
      </c>
      <c r="H727" s="186">
        <f>IF(ALECA_Input!$F$13="ICAO (3000ft)",'Aircraft Calc'!D$216,'Aircraft Calc'!H$216)</f>
        <v>2.5</v>
      </c>
      <c r="I727" s="186">
        <f>IF(ALECA_Input!$F$13="ICAO (3000ft)",'Aircraft Calc'!E$216,'Aircraft Calc'!I$216)</f>
        <v>4.5</v>
      </c>
      <c r="J727" s="189">
        <v>1</v>
      </c>
      <c r="K727" s="187">
        <f t="shared" si="181"/>
        <v>14.984999999999999</v>
      </c>
      <c r="L727" s="187">
        <f t="shared" si="182"/>
        <v>9.8608499999999988E-2</v>
      </c>
      <c r="M727" s="187">
        <f t="shared" si="183"/>
        <v>1.3230000000000002E-3</v>
      </c>
      <c r="N727" s="187">
        <f t="shared" si="184"/>
        <v>3.2691000000000005E-2</v>
      </c>
      <c r="O727" s="187">
        <f t="shared" si="185"/>
        <v>5.3823808500000009E-3</v>
      </c>
      <c r="P727" s="188">
        <f t="shared" si="186"/>
        <v>2.0417985E+17</v>
      </c>
      <c r="Q727" s="187">
        <f t="shared" si="187"/>
        <v>756</v>
      </c>
      <c r="R727" s="219">
        <f t="shared" si="188"/>
        <v>1.512</v>
      </c>
      <c r="S727" s="219">
        <f t="shared" si="189"/>
        <v>3.7800000000000002</v>
      </c>
      <c r="T727" s="219">
        <f t="shared" si="190"/>
        <v>51.181200000000004</v>
      </c>
      <c r="U727" s="219">
        <f t="shared" si="191"/>
        <v>0.18394236</v>
      </c>
      <c r="V727" s="188">
        <f t="shared" si="192"/>
        <v>2.01096E+16</v>
      </c>
      <c r="W727" s="323">
        <v>5.1499999999999997E-2</v>
      </c>
      <c r="X727" s="323">
        <v>4.5499999999999999E-2</v>
      </c>
      <c r="Y727" s="323">
        <v>2.4500000000000001E-2</v>
      </c>
      <c r="Z727" s="323">
        <v>1.26E-2</v>
      </c>
      <c r="AA727" s="323">
        <v>7.6</v>
      </c>
      <c r="AB727" s="323">
        <v>7.3</v>
      </c>
      <c r="AC727" s="323">
        <v>5.6</v>
      </c>
      <c r="AD727" s="323">
        <v>2</v>
      </c>
      <c r="AE727" s="323">
        <v>0</v>
      </c>
      <c r="AF727" s="323">
        <v>0</v>
      </c>
      <c r="AG727" s="323">
        <v>0.2</v>
      </c>
      <c r="AH727" s="323">
        <v>5</v>
      </c>
      <c r="AI727" s="323">
        <v>0.9</v>
      </c>
      <c r="AJ727" s="323">
        <v>1</v>
      </c>
      <c r="AK727" s="323">
        <v>3.7</v>
      </c>
      <c r="AL727" s="323">
        <v>67.7</v>
      </c>
      <c r="AM727" s="323">
        <v>0.23649999999999999</v>
      </c>
      <c r="AN727" s="323">
        <v>0.28560000000000002</v>
      </c>
      <c r="AO727" s="323">
        <v>0.34160000000000001</v>
      </c>
      <c r="AP727" s="323">
        <v>0.16350000000000001</v>
      </c>
      <c r="AQ727" s="323">
        <v>0.28545999999999999</v>
      </c>
      <c r="AR727" s="323">
        <v>0.33456000000000002</v>
      </c>
      <c r="AS727" s="323">
        <v>0.40181</v>
      </c>
      <c r="AT727" s="323">
        <v>0.24331</v>
      </c>
      <c r="AU727" s="190">
        <v>5250000000000000</v>
      </c>
      <c r="AV727" s="190">
        <v>7560000000000000</v>
      </c>
      <c r="AW727" s="190">
        <v>2.184E+16</v>
      </c>
      <c r="AX727" s="190">
        <v>2.66E+16</v>
      </c>
      <c r="AY727" s="203">
        <v>0.1</v>
      </c>
      <c r="BB727" s="204">
        <v>41556</v>
      </c>
      <c r="BC727" s="203" t="s">
        <v>3228</v>
      </c>
    </row>
    <row r="728" spans="1:55" x14ac:dyDescent="0.2">
      <c r="A728" s="184" t="s">
        <v>336</v>
      </c>
      <c r="B728" s="184" t="s">
        <v>2700</v>
      </c>
      <c r="C728" s="184" t="s">
        <v>723</v>
      </c>
      <c r="D728" s="185" t="s">
        <v>2692</v>
      </c>
      <c r="E728" s="184" t="s">
        <v>336</v>
      </c>
      <c r="F728" s="184" t="s">
        <v>336</v>
      </c>
      <c r="G728" s="186">
        <f>IF(ALECA_Input!$F$13="ICAO (3000ft)",'Aircraft Calc'!C$216,'Aircraft Calc'!G$216)</f>
        <v>0.5</v>
      </c>
      <c r="H728" s="186">
        <f>IF(ALECA_Input!$F$13="ICAO (3000ft)",'Aircraft Calc'!D$216,'Aircraft Calc'!H$216)</f>
        <v>2.5</v>
      </c>
      <c r="I728" s="186">
        <f>IF(ALECA_Input!$F$13="ICAO (3000ft)",'Aircraft Calc'!E$216,'Aircraft Calc'!I$216)</f>
        <v>4.5</v>
      </c>
      <c r="J728" s="189">
        <v>1</v>
      </c>
      <c r="K728" s="187">
        <f t="shared" si="181"/>
        <v>14.984999999999999</v>
      </c>
      <c r="L728" s="187">
        <f t="shared" si="182"/>
        <v>9.8608499999999988E-2</v>
      </c>
      <c r="M728" s="187">
        <f t="shared" si="183"/>
        <v>1.3230000000000002E-3</v>
      </c>
      <c r="N728" s="187">
        <f t="shared" si="184"/>
        <v>3.2691000000000005E-2</v>
      </c>
      <c r="O728" s="187">
        <f t="shared" si="185"/>
        <v>5.3823808500000009E-3</v>
      </c>
      <c r="P728" s="188">
        <f t="shared" si="186"/>
        <v>2.0417985E+17</v>
      </c>
      <c r="Q728" s="187">
        <f t="shared" si="187"/>
        <v>864</v>
      </c>
      <c r="R728" s="219">
        <f t="shared" si="188"/>
        <v>3.7151999999999998</v>
      </c>
      <c r="S728" s="219">
        <f t="shared" si="189"/>
        <v>1.0367999999999999</v>
      </c>
      <c r="T728" s="219">
        <f t="shared" si="190"/>
        <v>15.033599999999998</v>
      </c>
      <c r="U728" s="219">
        <f t="shared" si="191"/>
        <v>0.18996249600000001</v>
      </c>
      <c r="V728" s="188">
        <f t="shared" si="192"/>
        <v>2.29824E+16</v>
      </c>
      <c r="W728" s="323">
        <v>5.1499999999999997E-2</v>
      </c>
      <c r="X728" s="323">
        <v>4.5499999999999999E-2</v>
      </c>
      <c r="Y728" s="323">
        <v>2.4500000000000001E-2</v>
      </c>
      <c r="Z728" s="323">
        <v>1.44E-2</v>
      </c>
      <c r="AA728" s="323">
        <v>7.6</v>
      </c>
      <c r="AB728" s="323">
        <v>7.3</v>
      </c>
      <c r="AC728" s="323">
        <v>5.6</v>
      </c>
      <c r="AD728" s="323">
        <v>4.3</v>
      </c>
      <c r="AE728" s="323">
        <v>0</v>
      </c>
      <c r="AF728" s="323">
        <v>0</v>
      </c>
      <c r="AG728" s="323">
        <v>0.2</v>
      </c>
      <c r="AH728" s="323">
        <v>1.2</v>
      </c>
      <c r="AI728" s="323">
        <v>0.9</v>
      </c>
      <c r="AJ728" s="323">
        <v>1</v>
      </c>
      <c r="AK728" s="323">
        <v>3.7</v>
      </c>
      <c r="AL728" s="323">
        <v>17.399999999999999</v>
      </c>
      <c r="AM728" s="323">
        <v>0.23649999999999999</v>
      </c>
      <c r="AN728" s="323">
        <v>0.28560000000000002</v>
      </c>
      <c r="AO728" s="323">
        <v>0.34160000000000001</v>
      </c>
      <c r="AP728" s="323">
        <v>0.16350000000000001</v>
      </c>
      <c r="AQ728" s="323">
        <v>0.28545999999999999</v>
      </c>
      <c r="AR728" s="323">
        <v>0.33456000000000002</v>
      </c>
      <c r="AS728" s="323">
        <v>0.40181</v>
      </c>
      <c r="AT728" s="323">
        <v>0.219864</v>
      </c>
      <c r="AU728" s="190">
        <v>5250000000000000</v>
      </c>
      <c r="AV728" s="190">
        <v>7560000000000000</v>
      </c>
      <c r="AW728" s="190">
        <v>2.184E+16</v>
      </c>
      <c r="AX728" s="190">
        <v>2.66E+16</v>
      </c>
      <c r="AY728" s="203">
        <v>0.2</v>
      </c>
      <c r="BB728" s="204">
        <v>41556</v>
      </c>
      <c r="BC728" s="203" t="s">
        <v>3228</v>
      </c>
    </row>
    <row r="729" spans="1:55" x14ac:dyDescent="0.2">
      <c r="A729" s="184" t="s">
        <v>2703</v>
      </c>
      <c r="B729" s="184" t="s">
        <v>2701</v>
      </c>
      <c r="C729" s="184" t="s">
        <v>723</v>
      </c>
      <c r="D729" s="185" t="s">
        <v>2692</v>
      </c>
      <c r="E729" s="184" t="s">
        <v>2703</v>
      </c>
      <c r="F729" s="184" t="s">
        <v>2703</v>
      </c>
      <c r="G729" s="186">
        <f>IF(ALECA_Input!$F$13="ICAO (3000ft)",'Aircraft Calc'!C$216,'Aircraft Calc'!G$216)</f>
        <v>0.5</v>
      </c>
      <c r="H729" s="186">
        <f>IF(ALECA_Input!$F$13="ICAO (3000ft)",'Aircraft Calc'!D$216,'Aircraft Calc'!H$216)</f>
        <v>2.5</v>
      </c>
      <c r="I729" s="186">
        <f>IF(ALECA_Input!$F$13="ICAO (3000ft)",'Aircraft Calc'!E$216,'Aircraft Calc'!I$216)</f>
        <v>4.5</v>
      </c>
      <c r="J729" s="189">
        <v>1</v>
      </c>
      <c r="K729" s="187">
        <f t="shared" si="181"/>
        <v>38.247</v>
      </c>
      <c r="L729" s="187">
        <f t="shared" si="182"/>
        <v>0.40173569999999997</v>
      </c>
      <c r="M729" s="187">
        <f t="shared" si="183"/>
        <v>3.8246999999999995E-5</v>
      </c>
      <c r="N729" s="187">
        <f t="shared" si="184"/>
        <v>0.15174750000000001</v>
      </c>
      <c r="O729" s="187">
        <f t="shared" si="185"/>
        <v>1.66251459075E-2</v>
      </c>
      <c r="P729" s="188">
        <f t="shared" si="186"/>
        <v>3.9265731461191981E+17</v>
      </c>
      <c r="Q729" s="187">
        <f t="shared" si="187"/>
        <v>2532</v>
      </c>
      <c r="R729" s="219">
        <f t="shared" si="188"/>
        <v>14.432400000000001</v>
      </c>
      <c r="S729" s="219">
        <f t="shared" si="189"/>
        <v>2.532E-3</v>
      </c>
      <c r="T729" s="219">
        <f t="shared" si="190"/>
        <v>37.726800000000004</v>
      </c>
      <c r="U729" s="219">
        <f t="shared" si="191"/>
        <v>0.61392434244000005</v>
      </c>
      <c r="V729" s="188">
        <f t="shared" si="192"/>
        <v>2.7764726838026624E+16</v>
      </c>
      <c r="W729" s="323">
        <v>0.12839999999999999</v>
      </c>
      <c r="X729" s="323">
        <v>0.1123</v>
      </c>
      <c r="Y729" s="323">
        <v>6.5000000000000002E-2</v>
      </c>
      <c r="Z729" s="323">
        <v>4.2200000000000001E-2</v>
      </c>
      <c r="AA729" s="323">
        <v>13.6</v>
      </c>
      <c r="AB729" s="323">
        <v>12.3</v>
      </c>
      <c r="AC729" s="323">
        <v>8.1</v>
      </c>
      <c r="AD729" s="323">
        <v>5.7</v>
      </c>
      <c r="AE729" s="323">
        <v>1E-3</v>
      </c>
      <c r="AF729" s="323">
        <v>1E-3</v>
      </c>
      <c r="AG729" s="323">
        <v>1E-3</v>
      </c>
      <c r="AH729" s="323">
        <v>1E-3</v>
      </c>
      <c r="AI729" s="323">
        <v>2</v>
      </c>
      <c r="AJ729" s="323">
        <v>2.3000000000000003</v>
      </c>
      <c r="AK729" s="323">
        <v>6</v>
      </c>
      <c r="AL729" s="323">
        <v>14.9</v>
      </c>
      <c r="AM729" s="323">
        <v>0.42570000000000002</v>
      </c>
      <c r="AN729" s="323">
        <v>0.44280000000000003</v>
      </c>
      <c r="AO729" s="323">
        <v>0.32200000000000001</v>
      </c>
      <c r="AP729" s="323">
        <v>0.19350000000000001</v>
      </c>
      <c r="AQ729" s="323">
        <v>0.474775</v>
      </c>
      <c r="AR729" s="323">
        <v>0.491836</v>
      </c>
      <c r="AS729" s="323">
        <v>0.37101624999999999</v>
      </c>
      <c r="AT729" s="323">
        <v>0.24246617000000001</v>
      </c>
      <c r="AU729" s="190">
        <v>2800211284039612.5</v>
      </c>
      <c r="AV729" s="190">
        <v>3658436688420242.5</v>
      </c>
      <c r="AW729" s="190">
        <v>1.8247551836430788E+16</v>
      </c>
      <c r="AX729" s="190">
        <v>1.09655319265508E+16</v>
      </c>
      <c r="AY729" s="203">
        <v>0.8</v>
      </c>
      <c r="BA729" s="203">
        <v>1983</v>
      </c>
      <c r="BB729" s="204">
        <v>37504</v>
      </c>
      <c r="BC729" s="203" t="s">
        <v>3227</v>
      </c>
    </row>
    <row r="730" spans="1:55" x14ac:dyDescent="0.2">
      <c r="A730" s="184" t="s">
        <v>2705</v>
      </c>
      <c r="B730" s="184" t="s">
        <v>2704</v>
      </c>
      <c r="C730" s="184" t="s">
        <v>723</v>
      </c>
      <c r="D730" s="185" t="s">
        <v>2692</v>
      </c>
      <c r="E730" s="184" t="s">
        <v>2705</v>
      </c>
      <c r="F730" s="184" t="s">
        <v>2705</v>
      </c>
      <c r="G730" s="186">
        <f>IF(ALECA_Input!$F$13="ICAO (3000ft)",'Aircraft Calc'!C$216,'Aircraft Calc'!G$216)</f>
        <v>0.5</v>
      </c>
      <c r="H730" s="186">
        <f>IF(ALECA_Input!$F$13="ICAO (3000ft)",'Aircraft Calc'!D$216,'Aircraft Calc'!H$216)</f>
        <v>2.5</v>
      </c>
      <c r="I730" s="186">
        <f>IF(ALECA_Input!$F$13="ICAO (3000ft)",'Aircraft Calc'!E$216,'Aircraft Calc'!I$216)</f>
        <v>4.5</v>
      </c>
      <c r="J730" s="189">
        <v>1</v>
      </c>
      <c r="K730" s="187">
        <f t="shared" si="181"/>
        <v>38.247</v>
      </c>
      <c r="L730" s="187">
        <f t="shared" si="182"/>
        <v>0.40173569999999997</v>
      </c>
      <c r="M730" s="187">
        <f t="shared" si="183"/>
        <v>3.8246999999999995E-5</v>
      </c>
      <c r="N730" s="187">
        <f t="shared" si="184"/>
        <v>0.15174750000000001</v>
      </c>
      <c r="O730" s="187">
        <f t="shared" si="185"/>
        <v>1.66251459075E-2</v>
      </c>
      <c r="P730" s="188">
        <f t="shared" si="186"/>
        <v>3.9265731461191981E+17</v>
      </c>
      <c r="Q730" s="187">
        <f t="shared" si="187"/>
        <v>2532</v>
      </c>
      <c r="R730" s="219">
        <f t="shared" si="188"/>
        <v>14.432400000000001</v>
      </c>
      <c r="S730" s="219">
        <f t="shared" si="189"/>
        <v>2.532E-3</v>
      </c>
      <c r="T730" s="219">
        <f t="shared" si="190"/>
        <v>37.726800000000004</v>
      </c>
      <c r="U730" s="219">
        <f t="shared" si="191"/>
        <v>0.61392434244000005</v>
      </c>
      <c r="V730" s="188">
        <f t="shared" si="192"/>
        <v>2.7764726838026624E+16</v>
      </c>
      <c r="W730" s="323">
        <v>0.12839999999999999</v>
      </c>
      <c r="X730" s="323">
        <v>0.1123</v>
      </c>
      <c r="Y730" s="323">
        <v>6.5000000000000002E-2</v>
      </c>
      <c r="Z730" s="323">
        <v>4.2200000000000001E-2</v>
      </c>
      <c r="AA730" s="323">
        <v>13.6</v>
      </c>
      <c r="AB730" s="323">
        <v>12.3</v>
      </c>
      <c r="AC730" s="323">
        <v>8.1</v>
      </c>
      <c r="AD730" s="323">
        <v>5.7</v>
      </c>
      <c r="AE730" s="323">
        <v>1E-3</v>
      </c>
      <c r="AF730" s="323">
        <v>1E-3</v>
      </c>
      <c r="AG730" s="323">
        <v>1E-3</v>
      </c>
      <c r="AH730" s="323">
        <v>1E-3</v>
      </c>
      <c r="AI730" s="323">
        <v>2</v>
      </c>
      <c r="AJ730" s="323">
        <v>2.3000000000000003</v>
      </c>
      <c r="AK730" s="323">
        <v>6</v>
      </c>
      <c r="AL730" s="323">
        <v>14.9</v>
      </c>
      <c r="AM730" s="323">
        <v>0.42570000000000002</v>
      </c>
      <c r="AN730" s="323">
        <v>0.44280000000000003</v>
      </c>
      <c r="AO730" s="323">
        <v>0.32200000000000001</v>
      </c>
      <c r="AP730" s="323">
        <v>0.19350000000000001</v>
      </c>
      <c r="AQ730" s="323">
        <v>0.474775</v>
      </c>
      <c r="AR730" s="323">
        <v>0.491836</v>
      </c>
      <c r="AS730" s="323">
        <v>0.37101624999999999</v>
      </c>
      <c r="AT730" s="323">
        <v>0.24246617000000001</v>
      </c>
      <c r="AU730" s="190">
        <v>2800211284039612.5</v>
      </c>
      <c r="AV730" s="190">
        <v>3658436688420242.5</v>
      </c>
      <c r="AW730" s="190">
        <v>1.8247551836430788E+16</v>
      </c>
      <c r="AX730" s="190">
        <v>1.09655319265508E+16</v>
      </c>
      <c r="AY730" s="203">
        <v>0.8</v>
      </c>
      <c r="BA730" s="203">
        <v>1984</v>
      </c>
      <c r="BB730" s="204">
        <v>37504</v>
      </c>
      <c r="BC730" s="203" t="s">
        <v>3227</v>
      </c>
    </row>
    <row r="731" spans="1:55" x14ac:dyDescent="0.2">
      <c r="A731" s="184" t="s">
        <v>314</v>
      </c>
      <c r="B731" s="184" t="s">
        <v>2706</v>
      </c>
      <c r="C731" s="184" t="s">
        <v>723</v>
      </c>
      <c r="D731" s="185" t="s">
        <v>2692</v>
      </c>
      <c r="E731" s="184" t="s">
        <v>314</v>
      </c>
      <c r="F731" s="184" t="s">
        <v>2707</v>
      </c>
      <c r="G731" s="186">
        <f>IF(ALECA_Input!$F$13="ICAO (3000ft)",'Aircraft Calc'!C$216,'Aircraft Calc'!G$216)</f>
        <v>0.5</v>
      </c>
      <c r="H731" s="186">
        <f>IF(ALECA_Input!$F$13="ICAO (3000ft)",'Aircraft Calc'!D$216,'Aircraft Calc'!H$216)</f>
        <v>2.5</v>
      </c>
      <c r="I731" s="186">
        <f>IF(ALECA_Input!$F$13="ICAO (3000ft)",'Aircraft Calc'!E$216,'Aircraft Calc'!I$216)</f>
        <v>4.5</v>
      </c>
      <c r="J731" s="189">
        <v>1</v>
      </c>
      <c r="K731" s="187">
        <f t="shared" si="181"/>
        <v>46.503</v>
      </c>
      <c r="L731" s="187">
        <f t="shared" si="182"/>
        <v>0.62527080000000002</v>
      </c>
      <c r="M731" s="187">
        <f t="shared" si="183"/>
        <v>4.6503000000000005E-5</v>
      </c>
      <c r="N731" s="187">
        <f t="shared" si="184"/>
        <v>0.12808530000000001</v>
      </c>
      <c r="O731" s="187">
        <f t="shared" si="185"/>
        <v>2.156648298375E-2</v>
      </c>
      <c r="P731" s="188">
        <f t="shared" si="186"/>
        <v>5.3306320680817306E+17</v>
      </c>
      <c r="Q731" s="187">
        <f t="shared" si="187"/>
        <v>2982</v>
      </c>
      <c r="R731" s="219">
        <f t="shared" si="188"/>
        <v>20.575800000000001</v>
      </c>
      <c r="S731" s="219">
        <f t="shared" si="189"/>
        <v>0</v>
      </c>
      <c r="T731" s="219">
        <f t="shared" si="190"/>
        <v>27.434400000000004</v>
      </c>
      <c r="U731" s="219">
        <f t="shared" si="191"/>
        <v>0.74538072</v>
      </c>
      <c r="V731" s="188">
        <f t="shared" si="192"/>
        <v>3.3966627685787444E+16</v>
      </c>
      <c r="W731" s="323">
        <v>0.15260000000000001</v>
      </c>
      <c r="X731" s="323">
        <v>0.1346</v>
      </c>
      <c r="Y731" s="323">
        <v>8.0500000000000002E-2</v>
      </c>
      <c r="Z731" s="323">
        <v>4.9700000000000001E-2</v>
      </c>
      <c r="AA731" s="323">
        <v>18.100000000000001</v>
      </c>
      <c r="AB731" s="323">
        <v>16.100000000000001</v>
      </c>
      <c r="AC731" s="323">
        <v>10</v>
      </c>
      <c r="AD731" s="323">
        <v>6.9</v>
      </c>
      <c r="AE731" s="323">
        <v>1E-3</v>
      </c>
      <c r="AF731" s="323">
        <v>1E-3</v>
      </c>
      <c r="AG731" s="323">
        <v>1E-3</v>
      </c>
      <c r="AH731" s="323">
        <v>0</v>
      </c>
      <c r="AI731" s="323">
        <v>2.1</v>
      </c>
      <c r="AJ731" s="323">
        <v>2.1</v>
      </c>
      <c r="AK731" s="323">
        <v>3.5</v>
      </c>
      <c r="AL731" s="323">
        <v>9.2000000000000011</v>
      </c>
      <c r="AM731" s="323">
        <v>0.43669999999999998</v>
      </c>
      <c r="AN731" s="323">
        <v>0.47039999999999998</v>
      </c>
      <c r="AO731" s="323">
        <v>0.3584</v>
      </c>
      <c r="AP731" s="323">
        <v>0.20100000000000001</v>
      </c>
      <c r="AQ731" s="323">
        <v>0.48577500000000001</v>
      </c>
      <c r="AR731" s="323">
        <v>0.51943600000000001</v>
      </c>
      <c r="AS731" s="323">
        <v>0.40741624999999998</v>
      </c>
      <c r="AT731" s="323">
        <v>0.24995999999999999</v>
      </c>
      <c r="AU731" s="190">
        <v>2872568164764151</v>
      </c>
      <c r="AV731" s="190">
        <v>3886469327535867.5</v>
      </c>
      <c r="AW731" s="190">
        <v>2.031031856576644E+16</v>
      </c>
      <c r="AX731" s="190">
        <v>1.1390552543858968E+16</v>
      </c>
      <c r="AY731" s="203">
        <v>1.1000000000000001</v>
      </c>
      <c r="BA731" s="203">
        <v>1987</v>
      </c>
      <c r="BB731" s="204">
        <v>35684</v>
      </c>
      <c r="BC731" s="203" t="s">
        <v>3227</v>
      </c>
    </row>
    <row r="732" spans="1:55" x14ac:dyDescent="0.2">
      <c r="A732" s="184" t="s">
        <v>2709</v>
      </c>
      <c r="B732" s="184" t="s">
        <v>2708</v>
      </c>
      <c r="C732" s="184" t="s">
        <v>723</v>
      </c>
      <c r="D732" s="185" t="s">
        <v>2692</v>
      </c>
      <c r="E732" s="184" t="s">
        <v>2709</v>
      </c>
      <c r="F732" s="184" t="s">
        <v>2709</v>
      </c>
      <c r="G732" s="186">
        <f>IF(ALECA_Input!$F$13="ICAO (3000ft)",'Aircraft Calc'!C$216,'Aircraft Calc'!G$216)</f>
        <v>0.5</v>
      </c>
      <c r="H732" s="186">
        <f>IF(ALECA_Input!$F$13="ICAO (3000ft)",'Aircraft Calc'!D$216,'Aircraft Calc'!H$216)</f>
        <v>2.5</v>
      </c>
      <c r="I732" s="186">
        <f>IF(ALECA_Input!$F$13="ICAO (3000ft)",'Aircraft Calc'!E$216,'Aircraft Calc'!I$216)</f>
        <v>4.5</v>
      </c>
      <c r="J732" s="189">
        <v>1</v>
      </c>
      <c r="K732" s="187">
        <f t="shared" si="181"/>
        <v>44.673000000000002</v>
      </c>
      <c r="L732" s="187">
        <f t="shared" si="182"/>
        <v>0.60167970000000004</v>
      </c>
      <c r="M732" s="187">
        <f t="shared" si="183"/>
        <v>0</v>
      </c>
      <c r="N732" s="187">
        <f t="shared" si="184"/>
        <v>0.11966010000000001</v>
      </c>
      <c r="O732" s="187">
        <f t="shared" si="185"/>
        <v>2.052275148E-2</v>
      </c>
      <c r="P732" s="188">
        <f t="shared" si="186"/>
        <v>4.9036527740278906E+17</v>
      </c>
      <c r="Q732" s="187">
        <f t="shared" si="187"/>
        <v>3059.9999999999995</v>
      </c>
      <c r="R732" s="219">
        <f t="shared" si="188"/>
        <v>22.949999999999996</v>
      </c>
      <c r="S732" s="219">
        <f t="shared" si="189"/>
        <v>0</v>
      </c>
      <c r="T732" s="219">
        <f t="shared" si="190"/>
        <v>25.398</v>
      </c>
      <c r="U732" s="219">
        <f t="shared" si="191"/>
        <v>0.76028759999999984</v>
      </c>
      <c r="V732" s="188">
        <f t="shared" si="192"/>
        <v>3.4594978166415836E+16</v>
      </c>
      <c r="W732" s="323">
        <v>0.14940000000000001</v>
      </c>
      <c r="X732" s="323">
        <v>0.1333</v>
      </c>
      <c r="Y732" s="323">
        <v>7.4800000000000005E-2</v>
      </c>
      <c r="Z732" s="323">
        <v>5.0999999999999997E-2</v>
      </c>
      <c r="AA732" s="323">
        <v>17.8</v>
      </c>
      <c r="AB732" s="323">
        <v>15.9</v>
      </c>
      <c r="AC732" s="323">
        <v>10.1</v>
      </c>
      <c r="AD732" s="323">
        <v>7.5</v>
      </c>
      <c r="AE732" s="323">
        <v>0</v>
      </c>
      <c r="AF732" s="323">
        <v>0</v>
      </c>
      <c r="AG732" s="323">
        <v>0</v>
      </c>
      <c r="AH732" s="323">
        <v>0</v>
      </c>
      <c r="AI732" s="323">
        <v>2</v>
      </c>
      <c r="AJ732" s="323">
        <v>1.9</v>
      </c>
      <c r="AK732" s="323">
        <v>3.6</v>
      </c>
      <c r="AL732" s="323">
        <v>8.3000000000000007</v>
      </c>
      <c r="AM732" s="323">
        <v>0.43669999999999998</v>
      </c>
      <c r="AN732" s="323">
        <v>0.46560000000000001</v>
      </c>
      <c r="AO732" s="323">
        <v>0.35</v>
      </c>
      <c r="AP732" s="323">
        <v>0.19950000000000001</v>
      </c>
      <c r="AQ732" s="323">
        <v>0.48565999999999998</v>
      </c>
      <c r="AR732" s="323">
        <v>0.51456000000000002</v>
      </c>
      <c r="AS732" s="323">
        <v>0.39895999999999998</v>
      </c>
      <c r="AT732" s="323">
        <v>0.24845999999999999</v>
      </c>
      <c r="AU732" s="190">
        <v>2872568164764151</v>
      </c>
      <c r="AV732" s="190">
        <v>3846811477254889.5</v>
      </c>
      <c r="AW732" s="190">
        <v>1.9834295474381292E+16</v>
      </c>
      <c r="AX732" s="190">
        <v>1.1305548420397334E+16</v>
      </c>
      <c r="AY732" s="203">
        <v>1.2</v>
      </c>
      <c r="BB732" s="204">
        <v>37411</v>
      </c>
      <c r="BC732" s="203" t="s">
        <v>3227</v>
      </c>
    </row>
    <row r="733" spans="1:55" x14ac:dyDescent="0.2">
      <c r="A733" s="184" t="s">
        <v>2696</v>
      </c>
      <c r="B733" s="184" t="s">
        <v>2710</v>
      </c>
      <c r="C733" s="184" t="s">
        <v>769</v>
      </c>
      <c r="D733" s="185" t="s">
        <v>2692</v>
      </c>
      <c r="E733" s="184" t="s">
        <v>2711</v>
      </c>
      <c r="F733" s="184" t="s">
        <v>2712</v>
      </c>
      <c r="G733" s="186">
        <f>IF(ALECA_Input!$F$13="ICAO (3000ft)",'Aircraft Calc'!C$216,'Aircraft Calc'!G$216)</f>
        <v>0.5</v>
      </c>
      <c r="H733" s="186">
        <f>IF(ALECA_Input!$F$13="ICAO (3000ft)",'Aircraft Calc'!D$216,'Aircraft Calc'!H$216)</f>
        <v>2.5</v>
      </c>
      <c r="I733" s="186">
        <f>IF(ALECA_Input!$F$13="ICAO (3000ft)",'Aircraft Calc'!E$216,'Aircraft Calc'!I$216)</f>
        <v>4.5</v>
      </c>
      <c r="J733" s="189">
        <v>1</v>
      </c>
      <c r="K733" s="187">
        <f t="shared" si="181"/>
        <v>29.055</v>
      </c>
      <c r="L733" s="187">
        <f t="shared" si="182"/>
        <v>0.29662704000000001</v>
      </c>
      <c r="M733" s="187">
        <f t="shared" si="183"/>
        <v>4.8596070000000005E-2</v>
      </c>
      <c r="N733" s="187">
        <f t="shared" si="184"/>
        <v>0.32715638999999996</v>
      </c>
      <c r="O733" s="187">
        <f t="shared" si="185"/>
        <v>1.5200931000000001E-2</v>
      </c>
      <c r="P733" s="188">
        <f t="shared" si="186"/>
        <v>2.7634215721204314E+17</v>
      </c>
      <c r="Q733" s="187">
        <f t="shared" si="187"/>
        <v>1500</v>
      </c>
      <c r="R733" s="219">
        <f t="shared" si="188"/>
        <v>3.93</v>
      </c>
      <c r="S733" s="219">
        <f t="shared" si="189"/>
        <v>7.11</v>
      </c>
      <c r="T733" s="219">
        <f t="shared" si="190"/>
        <v>74.94</v>
      </c>
      <c r="U733" s="219">
        <f t="shared" si="191"/>
        <v>0.40980870000000003</v>
      </c>
      <c r="V733" s="188">
        <f t="shared" si="192"/>
        <v>1.6575804075018648E+16</v>
      </c>
      <c r="W733" s="323">
        <v>0.1002</v>
      </c>
      <c r="X733" s="323">
        <v>8.6900000000000005E-2</v>
      </c>
      <c r="Y733" s="323">
        <v>4.82E-2</v>
      </c>
      <c r="Z733" s="323">
        <v>2.5000000000000001E-2</v>
      </c>
      <c r="AA733" s="323">
        <v>14.86</v>
      </c>
      <c r="AB733" s="323">
        <v>12.72</v>
      </c>
      <c r="AC733" s="323">
        <v>6.62</v>
      </c>
      <c r="AD733" s="323">
        <v>2.62</v>
      </c>
      <c r="AE733" s="323">
        <v>0.79</v>
      </c>
      <c r="AF733" s="323">
        <v>1.03</v>
      </c>
      <c r="AG733" s="323">
        <v>2.52</v>
      </c>
      <c r="AH733" s="323">
        <v>4.74</v>
      </c>
      <c r="AI733" s="323">
        <v>3.38</v>
      </c>
      <c r="AJ733" s="323">
        <v>5.01</v>
      </c>
      <c r="AK733" s="323">
        <v>19.34</v>
      </c>
      <c r="AL733" s="323">
        <v>49.96</v>
      </c>
      <c r="AM733" s="323">
        <v>0.40920000000000001</v>
      </c>
      <c r="AN733" s="323">
        <v>0.42</v>
      </c>
      <c r="AO733" s="323">
        <v>0.3024</v>
      </c>
      <c r="AP733" s="323">
        <v>0.19500000000000001</v>
      </c>
      <c r="AQ733" s="323">
        <v>0.54901</v>
      </c>
      <c r="AR733" s="323">
        <v>0.54723999999999995</v>
      </c>
      <c r="AS733" s="323">
        <v>0.49310999999999999</v>
      </c>
      <c r="AT733" s="323">
        <v>0.2732058</v>
      </c>
      <c r="AU733" s="190">
        <v>2691675962952806.5</v>
      </c>
      <c r="AV733" s="190">
        <v>3470061899585596</v>
      </c>
      <c r="AW733" s="190">
        <v>1.7136831289865434E+16</v>
      </c>
      <c r="AX733" s="190">
        <v>1.1050536050012432E+16</v>
      </c>
      <c r="AY733" s="203">
        <v>0.4</v>
      </c>
      <c r="BA733" s="203">
        <v>1997</v>
      </c>
      <c r="BB733" s="204">
        <v>35684</v>
      </c>
      <c r="BC733" s="203" t="s">
        <v>3227</v>
      </c>
    </row>
    <row r="734" spans="1:55" x14ac:dyDescent="0.2">
      <c r="A734" s="184" t="s">
        <v>2713</v>
      </c>
      <c r="B734" s="184" t="s">
        <v>2713</v>
      </c>
      <c r="C734" s="184" t="s">
        <v>769</v>
      </c>
      <c r="D734" s="185" t="s">
        <v>2692</v>
      </c>
      <c r="E734" s="184" t="s">
        <v>353</v>
      </c>
      <c r="F734" s="184" t="s">
        <v>2714</v>
      </c>
      <c r="G734" s="186">
        <f>IF(ALECA_Input!$F$13="ICAO (3000ft)",'Aircraft Calc'!C$216,'Aircraft Calc'!G$216)</f>
        <v>0.5</v>
      </c>
      <c r="H734" s="186">
        <f>IF(ALECA_Input!$F$13="ICAO (3000ft)",'Aircraft Calc'!D$216,'Aircraft Calc'!H$216)</f>
        <v>2.5</v>
      </c>
      <c r="I734" s="186">
        <f>IF(ALECA_Input!$F$13="ICAO (3000ft)",'Aircraft Calc'!E$216,'Aircraft Calc'!I$216)</f>
        <v>4.5</v>
      </c>
      <c r="J734" s="189">
        <v>1</v>
      </c>
      <c r="K734" s="187">
        <f t="shared" si="181"/>
        <v>29.543999999999997</v>
      </c>
      <c r="L734" s="187">
        <f t="shared" si="182"/>
        <v>0.32933921999999993</v>
      </c>
      <c r="M734" s="187">
        <f t="shared" si="183"/>
        <v>4.6596059999999995E-2</v>
      </c>
      <c r="N734" s="187">
        <f t="shared" si="184"/>
        <v>0.30232101</v>
      </c>
      <c r="O734" s="187">
        <f t="shared" si="185"/>
        <v>1.52992237275E-2</v>
      </c>
      <c r="P734" s="188">
        <f t="shared" si="186"/>
        <v>2.7814986158742336E+17</v>
      </c>
      <c r="Q734" s="187">
        <f t="shared" si="187"/>
        <v>1548</v>
      </c>
      <c r="R734" s="219">
        <f t="shared" si="188"/>
        <v>4.4272799999999997</v>
      </c>
      <c r="S734" s="219">
        <f t="shared" si="189"/>
        <v>7.1672399999999996</v>
      </c>
      <c r="T734" s="219">
        <f t="shared" si="190"/>
        <v>74.691000000000003</v>
      </c>
      <c r="U734" s="219">
        <f t="shared" si="191"/>
        <v>0.42187195080000006</v>
      </c>
      <c r="V734" s="188">
        <f t="shared" si="192"/>
        <v>1.7106229805419246E+16</v>
      </c>
      <c r="W734" s="323">
        <v>9.8699999999999996E-2</v>
      </c>
      <c r="X734" s="323">
        <v>9.0999999999999998E-2</v>
      </c>
      <c r="Y734" s="323">
        <v>4.7899999999999998E-2</v>
      </c>
      <c r="Z734" s="323">
        <v>2.58E-2</v>
      </c>
      <c r="AA734" s="323">
        <v>15.780000000000001</v>
      </c>
      <c r="AB734" s="323">
        <v>14.47</v>
      </c>
      <c r="AC734" s="323">
        <v>6.58</v>
      </c>
      <c r="AD734" s="323">
        <v>2.86</v>
      </c>
      <c r="AE734" s="323">
        <v>0.69000000000000006</v>
      </c>
      <c r="AF734" s="323">
        <v>0.81</v>
      </c>
      <c r="AG734" s="323">
        <v>2.59</v>
      </c>
      <c r="AH734" s="323">
        <v>4.63</v>
      </c>
      <c r="AI734" s="323">
        <v>2.7600000000000002</v>
      </c>
      <c r="AJ734" s="323">
        <v>3.5</v>
      </c>
      <c r="AK734" s="323">
        <v>19.05</v>
      </c>
      <c r="AL734" s="323">
        <v>48.25</v>
      </c>
      <c r="AM734" s="323">
        <v>0.4103</v>
      </c>
      <c r="AN734" s="323">
        <v>0.42120000000000002</v>
      </c>
      <c r="AO734" s="323">
        <v>0.30380000000000001</v>
      </c>
      <c r="AP734" s="323">
        <v>0.19500000000000001</v>
      </c>
      <c r="AQ734" s="323">
        <v>0.53861000000000003</v>
      </c>
      <c r="AR734" s="323">
        <v>0.53171999999999997</v>
      </c>
      <c r="AS734" s="323">
        <v>0.49844749999999999</v>
      </c>
      <c r="AT734" s="323">
        <v>0.27252710000000002</v>
      </c>
      <c r="AU734" s="190">
        <v>2698911651025260</v>
      </c>
      <c r="AV734" s="190">
        <v>3479976362155840.5</v>
      </c>
      <c r="AW734" s="190">
        <v>1.721616847176296E+16</v>
      </c>
      <c r="AX734" s="190">
        <v>1.1050536050012432E+16</v>
      </c>
      <c r="AY734" s="203">
        <v>0.4</v>
      </c>
      <c r="BA734" s="203">
        <v>1997</v>
      </c>
      <c r="BB734" s="204">
        <v>35684</v>
      </c>
      <c r="BC734" s="203" t="s">
        <v>3227</v>
      </c>
    </row>
    <row r="735" spans="1:55" x14ac:dyDescent="0.2">
      <c r="A735" s="184" t="s">
        <v>2716</v>
      </c>
      <c r="B735" s="184" t="s">
        <v>2715</v>
      </c>
      <c r="C735" s="184" t="s">
        <v>2718</v>
      </c>
      <c r="D735" s="185" t="s">
        <v>2692</v>
      </c>
      <c r="E735" s="184" t="s">
        <v>2717</v>
      </c>
      <c r="F735" s="184" t="s">
        <v>2717</v>
      </c>
      <c r="G735" s="186">
        <f>IF(ALECA_Input!$F$13="ICAO (3000ft)",'Aircraft Calc'!C$216,'Aircraft Calc'!G$216)</f>
        <v>0.5</v>
      </c>
      <c r="H735" s="186">
        <f>IF(ALECA_Input!$F$13="ICAO (3000ft)",'Aircraft Calc'!D$216,'Aircraft Calc'!H$216)</f>
        <v>2.5</v>
      </c>
      <c r="I735" s="186">
        <f>IF(ALECA_Input!$F$13="ICAO (3000ft)",'Aircraft Calc'!E$216,'Aircraft Calc'!I$216)</f>
        <v>4.5</v>
      </c>
      <c r="J735" s="189">
        <v>1</v>
      </c>
      <c r="K735" s="187">
        <f t="shared" si="181"/>
        <v>16.044</v>
      </c>
      <c r="L735" s="187">
        <f t="shared" si="182"/>
        <v>0.14727512999999998</v>
      </c>
      <c r="M735" s="187">
        <f t="shared" si="183"/>
        <v>2.3469720000000003E-2</v>
      </c>
      <c r="N735" s="187">
        <f t="shared" si="184"/>
        <v>0.13537740000000004</v>
      </c>
      <c r="O735" s="187">
        <f t="shared" si="185"/>
        <v>6.1889838899999994E-3</v>
      </c>
      <c r="P735" s="188">
        <f t="shared" si="186"/>
        <v>1.1032711198324608E+17</v>
      </c>
      <c r="Q735" s="187">
        <f t="shared" si="187"/>
        <v>792</v>
      </c>
      <c r="R735" s="219">
        <f t="shared" si="188"/>
        <v>2.0354399999999999</v>
      </c>
      <c r="S735" s="219">
        <f t="shared" si="189"/>
        <v>72.262079999999997</v>
      </c>
      <c r="T735" s="219">
        <f t="shared" si="190"/>
        <v>50.767199999999995</v>
      </c>
      <c r="U735" s="219">
        <f t="shared" si="191"/>
        <v>0.62006535360000004</v>
      </c>
      <c r="V735" s="188">
        <f t="shared" si="192"/>
        <v>7674852299104020</v>
      </c>
      <c r="W735" s="323">
        <v>5.0999999999999997E-2</v>
      </c>
      <c r="X735" s="323">
        <v>4.6899999999999997E-2</v>
      </c>
      <c r="Y735" s="323">
        <v>2.7699999999999999E-2</v>
      </c>
      <c r="Z735" s="323">
        <v>1.32E-2</v>
      </c>
      <c r="AA735" s="323">
        <v>10.220000000000001</v>
      </c>
      <c r="AB735" s="323">
        <v>9.92</v>
      </c>
      <c r="AC735" s="323">
        <v>8.27</v>
      </c>
      <c r="AD735" s="323">
        <v>2.57</v>
      </c>
      <c r="AE735" s="323">
        <v>0.4</v>
      </c>
      <c r="AF735" s="323">
        <v>0.4</v>
      </c>
      <c r="AG735" s="323">
        <v>2.68</v>
      </c>
      <c r="AH735" s="323">
        <v>91.24</v>
      </c>
      <c r="AI735" s="323">
        <v>0.9</v>
      </c>
      <c r="AJ735" s="323">
        <v>1.4000000000000001</v>
      </c>
      <c r="AK735" s="323">
        <v>16.600000000000001</v>
      </c>
      <c r="AL735" s="323">
        <v>64.099999999999994</v>
      </c>
      <c r="AM735" s="323">
        <v>0.27500000000000002</v>
      </c>
      <c r="AN735" s="323">
        <v>0.27839999999999998</v>
      </c>
      <c r="AO735" s="323">
        <v>0.21560000000000001</v>
      </c>
      <c r="AP735" s="323">
        <v>0.17100000000000001</v>
      </c>
      <c r="AQ735" s="323">
        <v>0.36996000000000001</v>
      </c>
      <c r="AR735" s="323">
        <v>0.35776000000000002</v>
      </c>
      <c r="AS735" s="323">
        <v>0.41531000000000001</v>
      </c>
      <c r="AT735" s="323">
        <v>0.78291080000000002</v>
      </c>
      <c r="AU735" s="190">
        <v>1808922018113445</v>
      </c>
      <c r="AV735" s="190">
        <v>2300155316296738</v>
      </c>
      <c r="AW735" s="190">
        <v>1.2217926012218874E+16</v>
      </c>
      <c r="AX735" s="190">
        <v>9690470074626288</v>
      </c>
      <c r="AY735" s="203">
        <v>0.2</v>
      </c>
      <c r="BA735" s="203">
        <v>1967</v>
      </c>
      <c r="BB735" s="204">
        <v>35684</v>
      </c>
      <c r="BC735" s="203" t="s">
        <v>3227</v>
      </c>
    </row>
    <row r="736" spans="1:55" x14ac:dyDescent="0.2">
      <c r="A736" s="184" t="s">
        <v>225</v>
      </c>
      <c r="B736" s="184" t="s">
        <v>2719</v>
      </c>
      <c r="C736" s="184" t="s">
        <v>2718</v>
      </c>
      <c r="D736" s="185" t="s">
        <v>2692</v>
      </c>
      <c r="E736" s="184" t="s">
        <v>2720</v>
      </c>
      <c r="F736" s="184" t="s">
        <v>2721</v>
      </c>
      <c r="G736" s="186">
        <f>IF(ALECA_Input!$F$13="ICAO (3000ft)",'Aircraft Calc'!C$216,'Aircraft Calc'!G$216)</f>
        <v>0.5</v>
      </c>
      <c r="H736" s="186">
        <f>IF(ALECA_Input!$F$13="ICAO (3000ft)",'Aircraft Calc'!D$216,'Aircraft Calc'!H$216)</f>
        <v>2.5</v>
      </c>
      <c r="I736" s="186">
        <f>IF(ALECA_Input!$F$13="ICAO (3000ft)",'Aircraft Calc'!E$216,'Aircraft Calc'!I$216)</f>
        <v>4.5</v>
      </c>
      <c r="J736" s="189">
        <v>1</v>
      </c>
      <c r="K736" s="187">
        <f t="shared" si="181"/>
        <v>17.960999999999999</v>
      </c>
      <c r="L736" s="187">
        <f t="shared" si="182"/>
        <v>0.19738326</v>
      </c>
      <c r="M736" s="187">
        <f t="shared" si="183"/>
        <v>6.792359999999999E-3</v>
      </c>
      <c r="N736" s="187">
        <f t="shared" si="184"/>
        <v>6.8644800000000006E-2</v>
      </c>
      <c r="O736" s="187">
        <f t="shared" si="185"/>
        <v>6.0467837099999998E-3</v>
      </c>
      <c r="P736" s="188">
        <f t="shared" si="186"/>
        <v>1.3176402274008154E+17</v>
      </c>
      <c r="Q736" s="187">
        <f t="shared" si="187"/>
        <v>846</v>
      </c>
      <c r="R736" s="219">
        <f t="shared" si="188"/>
        <v>2.4195599999999997</v>
      </c>
      <c r="S736" s="219">
        <f t="shared" si="189"/>
        <v>66.927059999999997</v>
      </c>
      <c r="T736" s="219">
        <f t="shared" si="190"/>
        <v>52.028999999999996</v>
      </c>
      <c r="U736" s="219">
        <f t="shared" si="191"/>
        <v>0.60029512019999998</v>
      </c>
      <c r="V736" s="188">
        <f t="shared" si="192"/>
        <v>8270051171582382</v>
      </c>
      <c r="W736" s="323">
        <v>5.7700000000000001E-2</v>
      </c>
      <c r="X736" s="323">
        <v>5.1499999999999997E-2</v>
      </c>
      <c r="Y736" s="323">
        <v>3.15E-2</v>
      </c>
      <c r="Z736" s="323">
        <v>1.41E-2</v>
      </c>
      <c r="AA736" s="323">
        <v>12.36</v>
      </c>
      <c r="AB736" s="323">
        <v>11.86</v>
      </c>
      <c r="AC736" s="323">
        <v>9.92</v>
      </c>
      <c r="AD736" s="323">
        <v>2.86</v>
      </c>
      <c r="AE736" s="323">
        <v>0.11</v>
      </c>
      <c r="AF736" s="323">
        <v>0.15</v>
      </c>
      <c r="AG736" s="323">
        <v>0.64</v>
      </c>
      <c r="AH736" s="323">
        <v>79.11</v>
      </c>
      <c r="AI736" s="323">
        <v>0.8</v>
      </c>
      <c r="AJ736" s="323">
        <v>1</v>
      </c>
      <c r="AK736" s="323">
        <v>7</v>
      </c>
      <c r="AL736" s="323">
        <v>61.5</v>
      </c>
      <c r="AM736" s="323">
        <v>0.29699999999999999</v>
      </c>
      <c r="AN736" s="323">
        <v>0.29880000000000001</v>
      </c>
      <c r="AO736" s="323">
        <v>0.2268</v>
      </c>
      <c r="AP736" s="323">
        <v>0.17249999999999999</v>
      </c>
      <c r="AQ736" s="323">
        <v>0.35860999999999998</v>
      </c>
      <c r="AR736" s="323">
        <v>0.35915999999999998</v>
      </c>
      <c r="AS736" s="323">
        <v>0.31175999999999998</v>
      </c>
      <c r="AT736" s="323">
        <v>0.70956870000000005</v>
      </c>
      <c r="AU736" s="190">
        <v>1953635779562520.5</v>
      </c>
      <c r="AV736" s="190">
        <v>2468701179990895.5</v>
      </c>
      <c r="AW736" s="190">
        <v>1.2852623467399076E+16</v>
      </c>
      <c r="AX736" s="190">
        <v>9775474198087922</v>
      </c>
      <c r="AY736" s="203">
        <v>0.2</v>
      </c>
      <c r="BA736" s="203">
        <v>1970</v>
      </c>
      <c r="BB736" s="204">
        <v>35684</v>
      </c>
      <c r="BC736" s="203" t="s">
        <v>3227</v>
      </c>
    </row>
    <row r="737" spans="1:55" x14ac:dyDescent="0.2">
      <c r="A737" s="184" t="s">
        <v>311</v>
      </c>
      <c r="B737" s="184" t="s">
        <v>2722</v>
      </c>
      <c r="C737" s="184" t="s">
        <v>934</v>
      </c>
      <c r="D737" s="185" t="s">
        <v>2692</v>
      </c>
      <c r="E737" s="184" t="s">
        <v>2723</v>
      </c>
      <c r="F737" s="184" t="s">
        <v>2724</v>
      </c>
      <c r="G737" s="186">
        <f>IF(ALECA_Input!$F$13="ICAO (3000ft)",'Aircraft Calc'!C$216,'Aircraft Calc'!G$216)</f>
        <v>0.5</v>
      </c>
      <c r="H737" s="186">
        <f>IF(ALECA_Input!$F$13="ICAO (3000ft)",'Aircraft Calc'!D$216,'Aircraft Calc'!H$216)</f>
        <v>2.5</v>
      </c>
      <c r="I737" s="186">
        <f>IF(ALECA_Input!$F$13="ICAO (3000ft)",'Aircraft Calc'!E$216,'Aircraft Calc'!I$216)</f>
        <v>4.5</v>
      </c>
      <c r="J737" s="189">
        <v>1</v>
      </c>
      <c r="K737" s="187">
        <f t="shared" si="181"/>
        <v>50.868000000000002</v>
      </c>
      <c r="L737" s="187">
        <f t="shared" si="182"/>
        <v>0.15565920000000003</v>
      </c>
      <c r="M737" s="187">
        <f t="shared" si="183"/>
        <v>9.7179000000000001E-2</v>
      </c>
      <c r="N737" s="187">
        <f t="shared" si="184"/>
        <v>0.83138040000000002</v>
      </c>
      <c r="O737" s="187">
        <f t="shared" si="185"/>
        <v>2.8749094380000003E-2</v>
      </c>
      <c r="P737" s="188">
        <f t="shared" si="186"/>
        <v>5.0816275821057715E+17</v>
      </c>
      <c r="Q737" s="187">
        <f t="shared" si="187"/>
        <v>3102.0000000000005</v>
      </c>
      <c r="R737" s="219">
        <f t="shared" si="188"/>
        <v>2.1714000000000002</v>
      </c>
      <c r="S737" s="219">
        <f t="shared" si="189"/>
        <v>74.137800000000013</v>
      </c>
      <c r="T737" s="219">
        <f t="shared" si="190"/>
        <v>283.52280000000002</v>
      </c>
      <c r="U737" s="219">
        <f t="shared" si="191"/>
        <v>1.2095411460000003</v>
      </c>
      <c r="V737" s="188">
        <f t="shared" si="192"/>
        <v>3.4015080036160584E+16</v>
      </c>
      <c r="W737" s="323">
        <v>0.17799999999999999</v>
      </c>
      <c r="X737" s="323">
        <v>0.157</v>
      </c>
      <c r="Y737" s="323">
        <v>8.14E-2</v>
      </c>
      <c r="Z737" s="323">
        <v>5.1700000000000003E-2</v>
      </c>
      <c r="AA737" s="323">
        <v>5.6000000000000005</v>
      </c>
      <c r="AB737" s="323">
        <v>4.5</v>
      </c>
      <c r="AC737" s="323">
        <v>0.9</v>
      </c>
      <c r="AD737" s="323">
        <v>0.70000000000000007</v>
      </c>
      <c r="AE737" s="323">
        <v>1</v>
      </c>
      <c r="AF737" s="323">
        <v>1.1000000000000001</v>
      </c>
      <c r="AG737" s="323">
        <v>3</v>
      </c>
      <c r="AH737" s="323">
        <v>23.900000000000002</v>
      </c>
      <c r="AI737" s="323">
        <v>3.2</v>
      </c>
      <c r="AJ737" s="323">
        <v>3.5</v>
      </c>
      <c r="AK737" s="323">
        <v>33.299999999999997</v>
      </c>
      <c r="AL737" s="323">
        <v>91.4</v>
      </c>
      <c r="AM737" s="323">
        <v>0.4279</v>
      </c>
      <c r="AN737" s="323">
        <v>0.44640000000000002</v>
      </c>
      <c r="AO737" s="323">
        <v>0.32619999999999999</v>
      </c>
      <c r="AP737" s="323">
        <v>0.19350000000000001</v>
      </c>
      <c r="AQ737" s="323">
        <v>0.59186000000000005</v>
      </c>
      <c r="AR737" s="323">
        <v>0.57896000000000003</v>
      </c>
      <c r="AS737" s="323">
        <v>0.54391</v>
      </c>
      <c r="AT737" s="323">
        <v>0.38992300000000002</v>
      </c>
      <c r="AU737" s="190">
        <v>2814682660184520.5</v>
      </c>
      <c r="AV737" s="190">
        <v>3688180076130976</v>
      </c>
      <c r="AW737" s="190">
        <v>1.8485563382123364E+16</v>
      </c>
      <c r="AX737" s="190">
        <v>1.09655319265508E+16</v>
      </c>
      <c r="AY737" s="203">
        <v>0.2</v>
      </c>
      <c r="BB737" s="204">
        <v>35684</v>
      </c>
      <c r="BC737" s="203" t="s">
        <v>3227</v>
      </c>
    </row>
    <row r="738" spans="1:55" x14ac:dyDescent="0.2">
      <c r="A738" s="184" t="s">
        <v>2726</v>
      </c>
      <c r="B738" s="184" t="s">
        <v>2725</v>
      </c>
      <c r="C738" s="184" t="s">
        <v>934</v>
      </c>
      <c r="D738" s="185" t="s">
        <v>2692</v>
      </c>
      <c r="E738" s="184" t="s">
        <v>2727</v>
      </c>
      <c r="F738" s="184" t="s">
        <v>2728</v>
      </c>
      <c r="G738" s="186">
        <f>IF(ALECA_Input!$F$13="ICAO (3000ft)",'Aircraft Calc'!C$216,'Aircraft Calc'!G$216)</f>
        <v>0.5</v>
      </c>
      <c r="H738" s="186">
        <f>IF(ALECA_Input!$F$13="ICAO (3000ft)",'Aircraft Calc'!D$216,'Aircraft Calc'!H$216)</f>
        <v>2.5</v>
      </c>
      <c r="I738" s="186">
        <f>IF(ALECA_Input!$F$13="ICAO (3000ft)",'Aircraft Calc'!E$216,'Aircraft Calc'!I$216)</f>
        <v>4.5</v>
      </c>
      <c r="J738" s="189">
        <v>1</v>
      </c>
      <c r="K738" s="187">
        <f t="shared" si="181"/>
        <v>53.126999999999995</v>
      </c>
      <c r="L738" s="187">
        <f t="shared" si="182"/>
        <v>0.1735785</v>
      </c>
      <c r="M738" s="187">
        <f t="shared" si="183"/>
        <v>5.3126999999999995E-5</v>
      </c>
      <c r="N738" s="187">
        <f t="shared" si="184"/>
        <v>0.5840514</v>
      </c>
      <c r="O738" s="187">
        <f t="shared" si="185"/>
        <v>5.1947104230000006E-2</v>
      </c>
      <c r="P738" s="188">
        <f t="shared" si="186"/>
        <v>1.2609747441526779E+18</v>
      </c>
      <c r="Q738" s="187">
        <f t="shared" si="187"/>
        <v>3150</v>
      </c>
      <c r="R738" s="219">
        <f t="shared" si="188"/>
        <v>5.04</v>
      </c>
      <c r="S738" s="219">
        <f t="shared" si="189"/>
        <v>28.035</v>
      </c>
      <c r="T738" s="219">
        <f t="shared" si="190"/>
        <v>130.41</v>
      </c>
      <c r="U738" s="219">
        <f t="shared" si="191"/>
        <v>2.2171999499999999</v>
      </c>
      <c r="V738" s="188">
        <f t="shared" si="192"/>
        <v>1.0710519556165896E+17</v>
      </c>
      <c r="W738" s="323">
        <v>0.2127</v>
      </c>
      <c r="X738" s="323">
        <v>0.16980000000000001</v>
      </c>
      <c r="Y738" s="323">
        <v>7.8799999999999995E-2</v>
      </c>
      <c r="Z738" s="323">
        <v>5.2499999999999998E-2</v>
      </c>
      <c r="AA738" s="323">
        <v>4.3</v>
      </c>
      <c r="AB738" s="323">
        <v>3.9</v>
      </c>
      <c r="AC738" s="323">
        <v>2.2000000000000002</v>
      </c>
      <c r="AD738" s="323">
        <v>1.6</v>
      </c>
      <c r="AE738" s="323">
        <v>1E-3</v>
      </c>
      <c r="AF738" s="323">
        <v>1E-3</v>
      </c>
      <c r="AG738" s="323">
        <v>1E-3</v>
      </c>
      <c r="AH738" s="323">
        <v>8.9</v>
      </c>
      <c r="AI738" s="323">
        <v>2.2000000000000002</v>
      </c>
      <c r="AJ738" s="323">
        <v>3</v>
      </c>
      <c r="AK738" s="323">
        <v>23.2</v>
      </c>
      <c r="AL738" s="323">
        <v>41.4</v>
      </c>
      <c r="AM738" s="323">
        <v>1.1000000000000001</v>
      </c>
      <c r="AN738" s="323">
        <v>0.96</v>
      </c>
      <c r="AO738" s="323">
        <v>0.84</v>
      </c>
      <c r="AP738" s="323">
        <v>0.6</v>
      </c>
      <c r="AQ738" s="323">
        <v>1.1490750000000001</v>
      </c>
      <c r="AR738" s="323">
        <v>1.009036</v>
      </c>
      <c r="AS738" s="323">
        <v>0.88901624999999995</v>
      </c>
      <c r="AT738" s="323">
        <v>0.70387299999999997</v>
      </c>
      <c r="AU738" s="190">
        <v>7235688072453780</v>
      </c>
      <c r="AV738" s="190">
        <v>7931570056195647</v>
      </c>
      <c r="AW738" s="190">
        <v>4.7602309138515104E+16</v>
      </c>
      <c r="AX738" s="190">
        <v>3.400164938465364E+16</v>
      </c>
      <c r="AY738" s="203">
        <v>0.3</v>
      </c>
      <c r="BB738" s="204">
        <v>35684</v>
      </c>
      <c r="BC738" s="203" t="s">
        <v>3227</v>
      </c>
    </row>
    <row r="739" spans="1:55" x14ac:dyDescent="0.2">
      <c r="A739" s="184" t="s">
        <v>311</v>
      </c>
      <c r="B739" s="184" t="s">
        <v>2729</v>
      </c>
      <c r="C739" s="184" t="s">
        <v>934</v>
      </c>
      <c r="D739" s="185" t="s">
        <v>2692</v>
      </c>
      <c r="E739" s="184" t="s">
        <v>2730</v>
      </c>
      <c r="F739" s="184" t="s">
        <v>2731</v>
      </c>
      <c r="G739" s="186">
        <f>IF(ALECA_Input!$F$13="ICAO (3000ft)",'Aircraft Calc'!C$216,'Aircraft Calc'!G$216)</f>
        <v>0.5</v>
      </c>
      <c r="H739" s="186">
        <f>IF(ALECA_Input!$F$13="ICAO (3000ft)",'Aircraft Calc'!D$216,'Aircraft Calc'!H$216)</f>
        <v>2.5</v>
      </c>
      <c r="I739" s="186">
        <f>IF(ALECA_Input!$F$13="ICAO (3000ft)",'Aircraft Calc'!E$216,'Aircraft Calc'!I$216)</f>
        <v>4.5</v>
      </c>
      <c r="J739" s="189">
        <v>1</v>
      </c>
      <c r="K739" s="187">
        <f t="shared" si="181"/>
        <v>50.868000000000002</v>
      </c>
      <c r="L739" s="187">
        <f t="shared" si="182"/>
        <v>0.15565920000000003</v>
      </c>
      <c r="M739" s="187">
        <f t="shared" si="183"/>
        <v>9.7179000000000001E-2</v>
      </c>
      <c r="N739" s="187">
        <f t="shared" si="184"/>
        <v>0.83138040000000002</v>
      </c>
      <c r="O739" s="187">
        <f t="shared" si="185"/>
        <v>2.8749094380000003E-2</v>
      </c>
      <c r="P739" s="188">
        <f t="shared" si="186"/>
        <v>5.0816275821057715E+17</v>
      </c>
      <c r="Q739" s="187">
        <f t="shared" si="187"/>
        <v>3102.0000000000005</v>
      </c>
      <c r="R739" s="219">
        <f t="shared" si="188"/>
        <v>2.1714000000000002</v>
      </c>
      <c r="S739" s="219">
        <f t="shared" si="189"/>
        <v>74.137800000000013</v>
      </c>
      <c r="T739" s="219">
        <f t="shared" si="190"/>
        <v>283.52280000000002</v>
      </c>
      <c r="U739" s="219">
        <f t="shared" si="191"/>
        <v>1.2095411460000003</v>
      </c>
      <c r="V739" s="188">
        <f t="shared" si="192"/>
        <v>3.4015080036160584E+16</v>
      </c>
      <c r="W739" s="323">
        <v>0.17799999999999999</v>
      </c>
      <c r="X739" s="323">
        <v>0.157</v>
      </c>
      <c r="Y739" s="323">
        <v>8.14E-2</v>
      </c>
      <c r="Z739" s="323">
        <v>5.1700000000000003E-2</v>
      </c>
      <c r="AA739" s="323">
        <v>5.6000000000000005</v>
      </c>
      <c r="AB739" s="323">
        <v>4.5</v>
      </c>
      <c r="AC739" s="323">
        <v>0.9</v>
      </c>
      <c r="AD739" s="323">
        <v>0.70000000000000007</v>
      </c>
      <c r="AE739" s="323">
        <v>1</v>
      </c>
      <c r="AF739" s="323">
        <v>1.1000000000000001</v>
      </c>
      <c r="AG739" s="323">
        <v>3</v>
      </c>
      <c r="AH739" s="323">
        <v>23.900000000000002</v>
      </c>
      <c r="AI739" s="323">
        <v>3.2</v>
      </c>
      <c r="AJ739" s="323">
        <v>3.5</v>
      </c>
      <c r="AK739" s="323">
        <v>33.299999999999997</v>
      </c>
      <c r="AL739" s="323">
        <v>91.4</v>
      </c>
      <c r="AM739" s="323">
        <v>0.4279</v>
      </c>
      <c r="AN739" s="323">
        <v>0.44640000000000002</v>
      </c>
      <c r="AO739" s="323">
        <v>0.32619999999999999</v>
      </c>
      <c r="AP739" s="323">
        <v>0.19350000000000001</v>
      </c>
      <c r="AQ739" s="323">
        <v>0.59186000000000005</v>
      </c>
      <c r="AR739" s="323">
        <v>0.57896000000000003</v>
      </c>
      <c r="AS739" s="323">
        <v>0.54391</v>
      </c>
      <c r="AT739" s="323">
        <v>0.38992300000000002</v>
      </c>
      <c r="AU739" s="190">
        <v>2814682660184520.5</v>
      </c>
      <c r="AV739" s="190">
        <v>3688180076130976</v>
      </c>
      <c r="AW739" s="190">
        <v>1.8485563382123364E+16</v>
      </c>
      <c r="AX739" s="190">
        <v>1.09655319265508E+16</v>
      </c>
      <c r="AY739" s="203">
        <v>0.2</v>
      </c>
      <c r="BB739" s="204">
        <v>35684</v>
      </c>
      <c r="BC739" s="203" t="s">
        <v>3227</v>
      </c>
    </row>
    <row r="740" spans="1:55" x14ac:dyDescent="0.2">
      <c r="A740" s="184" t="s">
        <v>311</v>
      </c>
      <c r="B740" s="184" t="s">
        <v>2732</v>
      </c>
      <c r="C740" s="184" t="s">
        <v>934</v>
      </c>
      <c r="D740" s="185" t="s">
        <v>2692</v>
      </c>
      <c r="E740" s="184" t="s">
        <v>2733</v>
      </c>
      <c r="F740" s="184" t="s">
        <v>2734</v>
      </c>
      <c r="G740" s="186">
        <f>IF(ALECA_Input!$F$13="ICAO (3000ft)",'Aircraft Calc'!C$216,'Aircraft Calc'!G$216)</f>
        <v>0.5</v>
      </c>
      <c r="H740" s="186">
        <f>IF(ALECA_Input!$F$13="ICAO (3000ft)",'Aircraft Calc'!D$216,'Aircraft Calc'!H$216)</f>
        <v>2.5</v>
      </c>
      <c r="I740" s="186">
        <f>IF(ALECA_Input!$F$13="ICAO (3000ft)",'Aircraft Calc'!E$216,'Aircraft Calc'!I$216)</f>
        <v>4.5</v>
      </c>
      <c r="J740" s="189">
        <v>1</v>
      </c>
      <c r="K740" s="187">
        <f t="shared" si="181"/>
        <v>50.868000000000002</v>
      </c>
      <c r="L740" s="187">
        <f t="shared" si="182"/>
        <v>0.15565920000000003</v>
      </c>
      <c r="M740" s="187">
        <f t="shared" si="183"/>
        <v>9.7179000000000001E-2</v>
      </c>
      <c r="N740" s="187">
        <f t="shared" si="184"/>
        <v>0.83138040000000002</v>
      </c>
      <c r="O740" s="187">
        <f t="shared" si="185"/>
        <v>2.8749094380000003E-2</v>
      </c>
      <c r="P740" s="188">
        <f t="shared" si="186"/>
        <v>5.0816275821057715E+17</v>
      </c>
      <c r="Q740" s="187">
        <f t="shared" si="187"/>
        <v>3102.0000000000005</v>
      </c>
      <c r="R740" s="219">
        <f t="shared" si="188"/>
        <v>2.1714000000000002</v>
      </c>
      <c r="S740" s="219">
        <f t="shared" si="189"/>
        <v>74.137800000000013</v>
      </c>
      <c r="T740" s="219">
        <f t="shared" si="190"/>
        <v>283.52280000000002</v>
      </c>
      <c r="U740" s="219">
        <f t="shared" si="191"/>
        <v>1.2095411460000003</v>
      </c>
      <c r="V740" s="188">
        <f t="shared" si="192"/>
        <v>3.4015080036160584E+16</v>
      </c>
      <c r="W740" s="323">
        <v>0.17799999999999999</v>
      </c>
      <c r="X740" s="323">
        <v>0.157</v>
      </c>
      <c r="Y740" s="323">
        <v>8.14E-2</v>
      </c>
      <c r="Z740" s="323">
        <v>5.1700000000000003E-2</v>
      </c>
      <c r="AA740" s="323">
        <v>5.6000000000000005</v>
      </c>
      <c r="AB740" s="323">
        <v>4.5</v>
      </c>
      <c r="AC740" s="323">
        <v>0.9</v>
      </c>
      <c r="AD740" s="323">
        <v>0.70000000000000007</v>
      </c>
      <c r="AE740" s="323">
        <v>1</v>
      </c>
      <c r="AF740" s="323">
        <v>1.1000000000000001</v>
      </c>
      <c r="AG740" s="323">
        <v>3</v>
      </c>
      <c r="AH740" s="323">
        <v>23.900000000000002</v>
      </c>
      <c r="AI740" s="323">
        <v>3.2</v>
      </c>
      <c r="AJ740" s="323">
        <v>3.5</v>
      </c>
      <c r="AK740" s="323">
        <v>33.299999999999997</v>
      </c>
      <c r="AL740" s="323">
        <v>91.4</v>
      </c>
      <c r="AM740" s="323">
        <v>0.4279</v>
      </c>
      <c r="AN740" s="323">
        <v>0.44640000000000002</v>
      </c>
      <c r="AO740" s="323">
        <v>0.32619999999999999</v>
      </c>
      <c r="AP740" s="323">
        <v>0.19350000000000001</v>
      </c>
      <c r="AQ740" s="323">
        <v>0.59186000000000005</v>
      </c>
      <c r="AR740" s="323">
        <v>0.57896000000000003</v>
      </c>
      <c r="AS740" s="323">
        <v>0.54391</v>
      </c>
      <c r="AT740" s="323">
        <v>0.38992300000000002</v>
      </c>
      <c r="AU740" s="190">
        <v>2814682660184520.5</v>
      </c>
      <c r="AV740" s="190">
        <v>3688180076130976</v>
      </c>
      <c r="AW740" s="190">
        <v>1.8485563382123364E+16</v>
      </c>
      <c r="AX740" s="190">
        <v>1.09655319265508E+16</v>
      </c>
      <c r="AY740" s="203">
        <v>0.2</v>
      </c>
      <c r="BB740" s="204">
        <v>35684</v>
      </c>
      <c r="BC740" s="203" t="s">
        <v>3227</v>
      </c>
    </row>
    <row r="741" spans="1:55" x14ac:dyDescent="0.2">
      <c r="A741" s="184" t="s">
        <v>311</v>
      </c>
      <c r="B741" s="184" t="s">
        <v>2735</v>
      </c>
      <c r="C741" s="184" t="s">
        <v>934</v>
      </c>
      <c r="D741" s="185" t="s">
        <v>2692</v>
      </c>
      <c r="E741" s="184" t="s">
        <v>2736</v>
      </c>
      <c r="F741" s="184" t="s">
        <v>2737</v>
      </c>
      <c r="G741" s="186">
        <f>IF(ALECA_Input!$F$13="ICAO (3000ft)",'Aircraft Calc'!C$216,'Aircraft Calc'!G$216)</f>
        <v>0.5</v>
      </c>
      <c r="H741" s="186">
        <f>IF(ALECA_Input!$F$13="ICAO (3000ft)",'Aircraft Calc'!D$216,'Aircraft Calc'!H$216)</f>
        <v>2.5</v>
      </c>
      <c r="I741" s="186">
        <f>IF(ALECA_Input!$F$13="ICAO (3000ft)",'Aircraft Calc'!E$216,'Aircraft Calc'!I$216)</f>
        <v>4.5</v>
      </c>
      <c r="J741" s="189">
        <v>1</v>
      </c>
      <c r="K741" s="187">
        <f t="shared" si="181"/>
        <v>50.868000000000002</v>
      </c>
      <c r="L741" s="187">
        <f t="shared" si="182"/>
        <v>0.15565920000000003</v>
      </c>
      <c r="M741" s="187">
        <f t="shared" si="183"/>
        <v>9.7179000000000001E-2</v>
      </c>
      <c r="N741" s="187">
        <f t="shared" si="184"/>
        <v>0.83138040000000002</v>
      </c>
      <c r="O741" s="187">
        <f t="shared" si="185"/>
        <v>2.8749094380000003E-2</v>
      </c>
      <c r="P741" s="188">
        <f t="shared" si="186"/>
        <v>5.0816275821057715E+17</v>
      </c>
      <c r="Q741" s="187">
        <f t="shared" si="187"/>
        <v>3102.0000000000005</v>
      </c>
      <c r="R741" s="219">
        <f t="shared" si="188"/>
        <v>2.1714000000000002</v>
      </c>
      <c r="S741" s="219">
        <f t="shared" si="189"/>
        <v>74.137800000000013</v>
      </c>
      <c r="T741" s="219">
        <f t="shared" si="190"/>
        <v>283.52280000000002</v>
      </c>
      <c r="U741" s="219">
        <f t="shared" si="191"/>
        <v>1.2095411460000003</v>
      </c>
      <c r="V741" s="188">
        <f t="shared" si="192"/>
        <v>3.4015080036160584E+16</v>
      </c>
      <c r="W741" s="323">
        <v>0.17799999999999999</v>
      </c>
      <c r="X741" s="323">
        <v>0.157</v>
      </c>
      <c r="Y741" s="323">
        <v>8.14E-2</v>
      </c>
      <c r="Z741" s="323">
        <v>5.1700000000000003E-2</v>
      </c>
      <c r="AA741" s="323">
        <v>5.6000000000000005</v>
      </c>
      <c r="AB741" s="323">
        <v>4.5</v>
      </c>
      <c r="AC741" s="323">
        <v>0.9</v>
      </c>
      <c r="AD741" s="323">
        <v>0.70000000000000007</v>
      </c>
      <c r="AE741" s="323">
        <v>1</v>
      </c>
      <c r="AF741" s="323">
        <v>1.1000000000000001</v>
      </c>
      <c r="AG741" s="323">
        <v>3</v>
      </c>
      <c r="AH741" s="323">
        <v>23.900000000000002</v>
      </c>
      <c r="AI741" s="323">
        <v>3.2</v>
      </c>
      <c r="AJ741" s="323">
        <v>3.5</v>
      </c>
      <c r="AK741" s="323">
        <v>33.299999999999997</v>
      </c>
      <c r="AL741" s="323">
        <v>91.4</v>
      </c>
      <c r="AM741" s="323">
        <v>0.4279</v>
      </c>
      <c r="AN741" s="323">
        <v>0.44640000000000002</v>
      </c>
      <c r="AO741" s="323">
        <v>0.32619999999999999</v>
      </c>
      <c r="AP741" s="323">
        <v>0.19350000000000001</v>
      </c>
      <c r="AQ741" s="323">
        <v>0.59186000000000005</v>
      </c>
      <c r="AR741" s="323">
        <v>0.57896000000000003</v>
      </c>
      <c r="AS741" s="323">
        <v>0.54391</v>
      </c>
      <c r="AT741" s="323">
        <v>0.38992300000000002</v>
      </c>
      <c r="AU741" s="190">
        <v>2814682660184520.5</v>
      </c>
      <c r="AV741" s="190">
        <v>3688180076130976</v>
      </c>
      <c r="AW741" s="190">
        <v>1.8485563382123364E+16</v>
      </c>
      <c r="AX741" s="190">
        <v>1.09655319265508E+16</v>
      </c>
      <c r="AY741" s="203">
        <v>0.2</v>
      </c>
      <c r="BB741" s="204">
        <v>35684</v>
      </c>
      <c r="BC741" s="203" t="s">
        <v>3227</v>
      </c>
    </row>
    <row r="742" spans="1:55" x14ac:dyDescent="0.2">
      <c r="A742" s="184" t="s">
        <v>2726</v>
      </c>
      <c r="B742" s="184" t="s">
        <v>2738</v>
      </c>
      <c r="C742" s="184" t="s">
        <v>934</v>
      </c>
      <c r="D742" s="185" t="s">
        <v>2692</v>
      </c>
      <c r="E742" s="184" t="s">
        <v>2739</v>
      </c>
      <c r="F742" s="184" t="s">
        <v>2740</v>
      </c>
      <c r="G742" s="186">
        <f>IF(ALECA_Input!$F$13="ICAO (3000ft)",'Aircraft Calc'!C$216,'Aircraft Calc'!G$216)</f>
        <v>0.5</v>
      </c>
      <c r="H742" s="186">
        <f>IF(ALECA_Input!$F$13="ICAO (3000ft)",'Aircraft Calc'!D$216,'Aircraft Calc'!H$216)</f>
        <v>2.5</v>
      </c>
      <c r="I742" s="186">
        <f>IF(ALECA_Input!$F$13="ICAO (3000ft)",'Aircraft Calc'!E$216,'Aircraft Calc'!I$216)</f>
        <v>4.5</v>
      </c>
      <c r="J742" s="189">
        <v>1</v>
      </c>
      <c r="K742" s="187">
        <f t="shared" si="181"/>
        <v>53.126999999999995</v>
      </c>
      <c r="L742" s="187">
        <f t="shared" si="182"/>
        <v>0.1735785</v>
      </c>
      <c r="M742" s="187">
        <f t="shared" si="183"/>
        <v>5.3126999999999995E-5</v>
      </c>
      <c r="N742" s="187">
        <f t="shared" si="184"/>
        <v>0.5840514</v>
      </c>
      <c r="O742" s="187">
        <f t="shared" si="185"/>
        <v>5.1947104230000006E-2</v>
      </c>
      <c r="P742" s="188">
        <f t="shared" si="186"/>
        <v>1.2609747441526779E+18</v>
      </c>
      <c r="Q742" s="187">
        <f t="shared" si="187"/>
        <v>3150</v>
      </c>
      <c r="R742" s="219">
        <f t="shared" si="188"/>
        <v>5.04</v>
      </c>
      <c r="S742" s="219">
        <f t="shared" si="189"/>
        <v>28.035</v>
      </c>
      <c r="T742" s="219">
        <f t="shared" si="190"/>
        <v>130.41</v>
      </c>
      <c r="U742" s="219">
        <f t="shared" si="191"/>
        <v>2.2171999499999999</v>
      </c>
      <c r="V742" s="188">
        <f t="shared" si="192"/>
        <v>1.0710519556165896E+17</v>
      </c>
      <c r="W742" s="323">
        <v>0.2127</v>
      </c>
      <c r="X742" s="323">
        <v>0.16980000000000001</v>
      </c>
      <c r="Y742" s="323">
        <v>7.8799999999999995E-2</v>
      </c>
      <c r="Z742" s="323">
        <v>5.2499999999999998E-2</v>
      </c>
      <c r="AA742" s="323">
        <v>4.3</v>
      </c>
      <c r="AB742" s="323">
        <v>3.9</v>
      </c>
      <c r="AC742" s="323">
        <v>2.2000000000000002</v>
      </c>
      <c r="AD742" s="323">
        <v>1.6</v>
      </c>
      <c r="AE742" s="323">
        <v>1E-3</v>
      </c>
      <c r="AF742" s="323">
        <v>1E-3</v>
      </c>
      <c r="AG742" s="323">
        <v>1E-3</v>
      </c>
      <c r="AH742" s="323">
        <v>8.9</v>
      </c>
      <c r="AI742" s="323">
        <v>2.2000000000000002</v>
      </c>
      <c r="AJ742" s="323">
        <v>3</v>
      </c>
      <c r="AK742" s="323">
        <v>23.2</v>
      </c>
      <c r="AL742" s="323">
        <v>41.4</v>
      </c>
      <c r="AM742" s="323">
        <v>1.1000000000000001</v>
      </c>
      <c r="AN742" s="323">
        <v>0.96</v>
      </c>
      <c r="AO742" s="323">
        <v>0.84</v>
      </c>
      <c r="AP742" s="323">
        <v>0.6</v>
      </c>
      <c r="AQ742" s="323">
        <v>1.1490750000000001</v>
      </c>
      <c r="AR742" s="323">
        <v>1.009036</v>
      </c>
      <c r="AS742" s="323">
        <v>0.88901624999999995</v>
      </c>
      <c r="AT742" s="323">
        <v>0.70387299999999997</v>
      </c>
      <c r="AU742" s="190">
        <v>7235688072453780</v>
      </c>
      <c r="AV742" s="190">
        <v>7931570056195647</v>
      </c>
      <c r="AW742" s="190">
        <v>4.7602309138515104E+16</v>
      </c>
      <c r="AX742" s="190">
        <v>3.400164938465364E+16</v>
      </c>
      <c r="AY742" s="203">
        <v>0.3</v>
      </c>
      <c r="BB742" s="204">
        <v>35684</v>
      </c>
      <c r="BC742" s="203" t="s">
        <v>3227</v>
      </c>
    </row>
    <row r="743" spans="1:55" x14ac:dyDescent="0.2">
      <c r="A743" s="184" t="s">
        <v>311</v>
      </c>
      <c r="B743" s="184" t="s">
        <v>2741</v>
      </c>
      <c r="C743" s="184" t="s">
        <v>934</v>
      </c>
      <c r="D743" s="185" t="s">
        <v>2692</v>
      </c>
      <c r="E743" s="184" t="s">
        <v>2742</v>
      </c>
      <c r="F743" s="184" t="s">
        <v>2743</v>
      </c>
      <c r="G743" s="186">
        <f>IF(ALECA_Input!$F$13="ICAO (3000ft)",'Aircraft Calc'!C$216,'Aircraft Calc'!G$216)</f>
        <v>0.5</v>
      </c>
      <c r="H743" s="186">
        <f>IF(ALECA_Input!$F$13="ICAO (3000ft)",'Aircraft Calc'!D$216,'Aircraft Calc'!H$216)</f>
        <v>2.5</v>
      </c>
      <c r="I743" s="186">
        <f>IF(ALECA_Input!$F$13="ICAO (3000ft)",'Aircraft Calc'!E$216,'Aircraft Calc'!I$216)</f>
        <v>4.5</v>
      </c>
      <c r="J743" s="189">
        <v>1</v>
      </c>
      <c r="K743" s="187">
        <f t="shared" si="181"/>
        <v>50.868000000000002</v>
      </c>
      <c r="L743" s="187">
        <f t="shared" si="182"/>
        <v>0.15565920000000003</v>
      </c>
      <c r="M743" s="187">
        <f t="shared" si="183"/>
        <v>9.7179000000000001E-2</v>
      </c>
      <c r="N743" s="187">
        <f t="shared" si="184"/>
        <v>0.83138040000000002</v>
      </c>
      <c r="O743" s="187">
        <f t="shared" si="185"/>
        <v>2.8749094380000003E-2</v>
      </c>
      <c r="P743" s="188">
        <f t="shared" si="186"/>
        <v>5.0816275821057715E+17</v>
      </c>
      <c r="Q743" s="187">
        <f t="shared" si="187"/>
        <v>3102.0000000000005</v>
      </c>
      <c r="R743" s="219">
        <f t="shared" si="188"/>
        <v>2.1714000000000002</v>
      </c>
      <c r="S743" s="219">
        <f t="shared" si="189"/>
        <v>74.137800000000013</v>
      </c>
      <c r="T743" s="219">
        <f t="shared" si="190"/>
        <v>283.52280000000002</v>
      </c>
      <c r="U743" s="219">
        <f t="shared" si="191"/>
        <v>1.2095411460000003</v>
      </c>
      <c r="V743" s="188">
        <f t="shared" si="192"/>
        <v>3.4015080036160584E+16</v>
      </c>
      <c r="W743" s="323">
        <v>0.17799999999999999</v>
      </c>
      <c r="X743" s="323">
        <v>0.157</v>
      </c>
      <c r="Y743" s="323">
        <v>8.14E-2</v>
      </c>
      <c r="Z743" s="323">
        <v>5.1700000000000003E-2</v>
      </c>
      <c r="AA743" s="323">
        <v>5.6000000000000005</v>
      </c>
      <c r="AB743" s="323">
        <v>4.5</v>
      </c>
      <c r="AC743" s="323">
        <v>0.9</v>
      </c>
      <c r="AD743" s="323">
        <v>0.70000000000000007</v>
      </c>
      <c r="AE743" s="323">
        <v>1</v>
      </c>
      <c r="AF743" s="323">
        <v>1.1000000000000001</v>
      </c>
      <c r="AG743" s="323">
        <v>3</v>
      </c>
      <c r="AH743" s="323">
        <v>23.900000000000002</v>
      </c>
      <c r="AI743" s="323">
        <v>3.2</v>
      </c>
      <c r="AJ743" s="323">
        <v>3.5</v>
      </c>
      <c r="AK743" s="323">
        <v>33.299999999999997</v>
      </c>
      <c r="AL743" s="323">
        <v>91.4</v>
      </c>
      <c r="AM743" s="323">
        <v>0.4279</v>
      </c>
      <c r="AN743" s="323">
        <v>0.44640000000000002</v>
      </c>
      <c r="AO743" s="323">
        <v>0.32619999999999999</v>
      </c>
      <c r="AP743" s="323">
        <v>0.19350000000000001</v>
      </c>
      <c r="AQ743" s="323">
        <v>0.59186000000000005</v>
      </c>
      <c r="AR743" s="323">
        <v>0.57896000000000003</v>
      </c>
      <c r="AS743" s="323">
        <v>0.54391</v>
      </c>
      <c r="AT743" s="323">
        <v>0.38992300000000002</v>
      </c>
      <c r="AU743" s="190">
        <v>2814682660184520.5</v>
      </c>
      <c r="AV743" s="190">
        <v>3688180076130976</v>
      </c>
      <c r="AW743" s="190">
        <v>1.8485563382123364E+16</v>
      </c>
      <c r="AX743" s="190">
        <v>1.09655319265508E+16</v>
      </c>
      <c r="AY743" s="203">
        <v>0.2</v>
      </c>
      <c r="BB743" s="204">
        <v>35684</v>
      </c>
      <c r="BC743" s="203" t="s">
        <v>3227</v>
      </c>
    </row>
    <row r="744" spans="1:55" x14ac:dyDescent="0.2">
      <c r="A744" s="184" t="s">
        <v>2745</v>
      </c>
      <c r="B744" s="184" t="s">
        <v>2744</v>
      </c>
      <c r="C744" s="184" t="s">
        <v>934</v>
      </c>
      <c r="D744" s="185" t="s">
        <v>2692</v>
      </c>
      <c r="E744" s="184" t="s">
        <v>2746</v>
      </c>
      <c r="F744" s="184" t="s">
        <v>2746</v>
      </c>
      <c r="G744" s="186">
        <f>IF(ALECA_Input!$F$13="ICAO (3000ft)",'Aircraft Calc'!C$216,'Aircraft Calc'!G$216)</f>
        <v>0.5</v>
      </c>
      <c r="H744" s="186">
        <f>IF(ALECA_Input!$F$13="ICAO (3000ft)",'Aircraft Calc'!D$216,'Aircraft Calc'!H$216)</f>
        <v>2.5</v>
      </c>
      <c r="I744" s="186">
        <f>IF(ALECA_Input!$F$13="ICAO (3000ft)",'Aircraft Calc'!E$216,'Aircraft Calc'!I$216)</f>
        <v>4.5</v>
      </c>
      <c r="J744" s="189">
        <v>1</v>
      </c>
      <c r="K744" s="187">
        <f t="shared" ref="K744:K807" si="205">(G744*W744*60+H744*X744*60+I744*Y744*60)</f>
        <v>87.581999999999994</v>
      </c>
      <c r="L744" s="187">
        <f t="shared" ref="L744:L807" si="206">(G744*W744*60*AA744+H744*X744*60*AB744+I744*Y744*60*AC744)/1000</f>
        <v>0.88559315999999999</v>
      </c>
      <c r="M744" s="187">
        <f t="shared" ref="M744:M807" si="207">(G744*W744*60*AE744+H744*X744*60*AF744+I744*Y744*60*AG744)/1000</f>
        <v>0.15176307000000003</v>
      </c>
      <c r="N744" s="187">
        <f t="shared" ref="N744:N807" si="208">(G744*W744*60*AI744+H744*X744*60*AJ744+I744*Y744*60*AK744)/1000</f>
        <v>0.41307450000000001</v>
      </c>
      <c r="O744" s="187">
        <f t="shared" ref="O744:O807" si="209">(G744*W744*60*AQ744+H744*X744*60*AR744+I744*Y744*60*AS744)/1000</f>
        <v>5.3887322520000003E-2</v>
      </c>
      <c r="P744" s="188">
        <f t="shared" ref="P744:P807" si="210">(G744*W744*60*AU744+H744*X744*60*AV744+I744*Y744*60*AW744)</f>
        <v>1.076789025065799E+18</v>
      </c>
      <c r="Q744" s="187">
        <f t="shared" ref="Q744:Q807" si="211">J744*Z744*60*1000</f>
        <v>4680</v>
      </c>
      <c r="R744" s="219">
        <f t="shared" ref="R744:R807" si="212">J744*Z744*60*AD744</f>
        <v>3.6035999999999997</v>
      </c>
      <c r="S744" s="219">
        <f t="shared" ref="S744:S807" si="213">J744*Z744*60*AH744</f>
        <v>50.122799999999998</v>
      </c>
      <c r="T744" s="219">
        <f t="shared" ref="T744:T807" si="214">J744*Z744*60*AL744</f>
        <v>308.41200000000003</v>
      </c>
      <c r="U744" s="219">
        <f t="shared" ref="U744:U807" si="215">J744*Z744*60*AT744</f>
        <v>1.9423904759999997</v>
      </c>
      <c r="V744" s="188">
        <f t="shared" ref="V744:V807" si="216">J744*Z744*60*AX744</f>
        <v>7.956385956008952E+16</v>
      </c>
      <c r="W744" s="323">
        <v>0.2989</v>
      </c>
      <c r="X744" s="323">
        <v>0.2757</v>
      </c>
      <c r="Y744" s="323">
        <v>0.13800000000000001</v>
      </c>
      <c r="Z744" s="323">
        <v>7.8E-2</v>
      </c>
      <c r="AA744" s="323">
        <v>11.43</v>
      </c>
      <c r="AB744" s="323">
        <v>11.53</v>
      </c>
      <c r="AC744" s="323">
        <v>8.2200000000000006</v>
      </c>
      <c r="AD744" s="323">
        <v>0.77</v>
      </c>
      <c r="AE744" s="323">
        <v>1.21</v>
      </c>
      <c r="AF744" s="323">
        <v>1.2</v>
      </c>
      <c r="AG744" s="323">
        <v>2.4500000000000002</v>
      </c>
      <c r="AH744" s="323">
        <v>10.71</v>
      </c>
      <c r="AI744" s="323">
        <v>0.5</v>
      </c>
      <c r="AJ744" s="323">
        <v>0.6</v>
      </c>
      <c r="AK744" s="323">
        <v>10.3</v>
      </c>
      <c r="AL744" s="323">
        <v>65.900000000000006</v>
      </c>
      <c r="AM744" s="323">
        <v>0.44</v>
      </c>
      <c r="AN744" s="323">
        <v>0.48</v>
      </c>
      <c r="AO744" s="323">
        <v>0.42</v>
      </c>
      <c r="AP744" s="323">
        <v>0.3</v>
      </c>
      <c r="AQ744" s="323">
        <v>0.62810999999999995</v>
      </c>
      <c r="AR744" s="323">
        <v>0.62016000000000004</v>
      </c>
      <c r="AS744" s="323">
        <v>0.60677250000000005</v>
      </c>
      <c r="AT744" s="323">
        <v>0.41504069999999998</v>
      </c>
      <c r="AU744" s="190">
        <v>2894275228981512</v>
      </c>
      <c r="AV744" s="190">
        <v>3965785028097823.5</v>
      </c>
      <c r="AW744" s="190">
        <v>2.3801154569257552E+16</v>
      </c>
      <c r="AX744" s="190">
        <v>1.700082469232682E+16</v>
      </c>
      <c r="AY744" s="203">
        <v>0.9</v>
      </c>
      <c r="BB744" s="204">
        <v>35684</v>
      </c>
      <c r="BC744" s="203" t="s">
        <v>3227</v>
      </c>
    </row>
    <row r="745" spans="1:55" x14ac:dyDescent="0.2">
      <c r="A745" s="184" t="s">
        <v>214</v>
      </c>
      <c r="B745" s="184" t="s">
        <v>2747</v>
      </c>
      <c r="C745" s="184" t="s">
        <v>2748</v>
      </c>
      <c r="D745" s="185" t="s">
        <v>2692</v>
      </c>
      <c r="E745" s="184" t="s">
        <v>3229</v>
      </c>
      <c r="F745" s="184" t="s">
        <v>3230</v>
      </c>
      <c r="G745" s="186">
        <f>IF(ALECA_Input!$F$13="ICAO (3000ft)",'Aircraft Calc'!C$216,'Aircraft Calc'!G$216)</f>
        <v>0.5</v>
      </c>
      <c r="H745" s="186">
        <f>IF(ALECA_Input!$F$13="ICAO (3000ft)",'Aircraft Calc'!D$216,'Aircraft Calc'!H$216)</f>
        <v>2.5</v>
      </c>
      <c r="I745" s="186">
        <f>IF(ALECA_Input!$F$13="ICAO (3000ft)",'Aircraft Calc'!E$216,'Aircraft Calc'!I$216)</f>
        <v>4.5</v>
      </c>
      <c r="J745" s="189">
        <v>1</v>
      </c>
      <c r="K745" s="187">
        <f t="shared" si="205"/>
        <v>89.288999999999987</v>
      </c>
      <c r="L745" s="187">
        <f t="shared" si="206"/>
        <v>0.75311514000000002</v>
      </c>
      <c r="M745" s="187">
        <f t="shared" si="207"/>
        <v>0.11547423</v>
      </c>
      <c r="N745" s="187">
        <f t="shared" si="208"/>
        <v>0.30292470000000005</v>
      </c>
      <c r="O745" s="187">
        <f t="shared" si="209"/>
        <v>5.191797024E-2</v>
      </c>
      <c r="P745" s="188">
        <f t="shared" si="210"/>
        <v>1.1135336262080087E+18</v>
      </c>
      <c r="Q745" s="187">
        <f t="shared" si="211"/>
        <v>4614</v>
      </c>
      <c r="R745" s="219">
        <f t="shared" si="212"/>
        <v>16.24128</v>
      </c>
      <c r="S745" s="219">
        <f t="shared" si="213"/>
        <v>81.252539999999996</v>
      </c>
      <c r="T745" s="219">
        <f t="shared" si="214"/>
        <v>201.1704</v>
      </c>
      <c r="U745" s="219">
        <f t="shared" si="215"/>
        <v>2.1114296118000002</v>
      </c>
      <c r="V745" s="188">
        <f t="shared" si="216"/>
        <v>7.8441805130395952E+16</v>
      </c>
      <c r="W745" s="323">
        <v>0.2994</v>
      </c>
      <c r="X745" s="323">
        <v>0.27689999999999998</v>
      </c>
      <c r="Y745" s="323">
        <v>0.14360000000000001</v>
      </c>
      <c r="Z745" s="323">
        <v>7.6899999999999996E-2</v>
      </c>
      <c r="AA745" s="323">
        <v>8.8800000000000008</v>
      </c>
      <c r="AB745" s="323">
        <v>9.2200000000000006</v>
      </c>
      <c r="AC745" s="323">
        <v>7.49</v>
      </c>
      <c r="AD745" s="323">
        <v>3.52</v>
      </c>
      <c r="AE745" s="323">
        <v>0.28000000000000003</v>
      </c>
      <c r="AF745" s="323">
        <v>0.89</v>
      </c>
      <c r="AG745" s="323">
        <v>1.96</v>
      </c>
      <c r="AH745" s="323">
        <v>17.61</v>
      </c>
      <c r="AI745" s="323">
        <v>2</v>
      </c>
      <c r="AJ745" s="323">
        <v>2.1</v>
      </c>
      <c r="AK745" s="323">
        <v>5.1000000000000005</v>
      </c>
      <c r="AL745" s="323">
        <v>43.6</v>
      </c>
      <c r="AM745" s="323">
        <v>0.44</v>
      </c>
      <c r="AN745" s="323">
        <v>0.48</v>
      </c>
      <c r="AO745" s="323">
        <v>0.42</v>
      </c>
      <c r="AP745" s="323">
        <v>0.3</v>
      </c>
      <c r="AQ745" s="323">
        <v>0.52115999999999996</v>
      </c>
      <c r="AR745" s="323">
        <v>0.59660000000000002</v>
      </c>
      <c r="AS745" s="323">
        <v>0.57921</v>
      </c>
      <c r="AT745" s="323">
        <v>0.45761370000000001</v>
      </c>
      <c r="AU745" s="190">
        <v>2894275228981512</v>
      </c>
      <c r="AV745" s="190">
        <v>3965785028097823.5</v>
      </c>
      <c r="AW745" s="190">
        <v>2.3801154569257552E+16</v>
      </c>
      <c r="AX745" s="190">
        <v>1.700082469232682E+16</v>
      </c>
      <c r="AY745" s="203">
        <v>1.1000000000000001</v>
      </c>
      <c r="BB745" s="204">
        <v>35684</v>
      </c>
      <c r="BC745" s="203" t="s">
        <v>3227</v>
      </c>
    </row>
    <row r="746" spans="1:55" x14ac:dyDescent="0.2">
      <c r="A746" s="184" t="s">
        <v>2749</v>
      </c>
      <c r="B746" s="184" t="s">
        <v>2749</v>
      </c>
      <c r="C746" s="184" t="s">
        <v>2748</v>
      </c>
      <c r="D746" s="185" t="s">
        <v>2692</v>
      </c>
      <c r="E746" s="184" t="s">
        <v>2750</v>
      </c>
      <c r="F746" s="184" t="s">
        <v>2751</v>
      </c>
      <c r="G746" s="186">
        <f>IF(ALECA_Input!$F$13="ICAO (3000ft)",'Aircraft Calc'!C$216,'Aircraft Calc'!G$216)</f>
        <v>0.5</v>
      </c>
      <c r="H746" s="186">
        <f>IF(ALECA_Input!$F$13="ICAO (3000ft)",'Aircraft Calc'!D$216,'Aircraft Calc'!H$216)</f>
        <v>2.5</v>
      </c>
      <c r="I746" s="186">
        <f>IF(ALECA_Input!$F$13="ICAO (3000ft)",'Aircraft Calc'!E$216,'Aircraft Calc'!I$216)</f>
        <v>4.5</v>
      </c>
      <c r="J746" s="189">
        <v>1</v>
      </c>
      <c r="K746" s="187">
        <f t="shared" si="205"/>
        <v>67.62</v>
      </c>
      <c r="L746" s="187">
        <f t="shared" si="206"/>
        <v>0.64956361200000001</v>
      </c>
      <c r="M746" s="187">
        <f t="shared" si="207"/>
        <v>3.3919199999999997E-3</v>
      </c>
      <c r="N746" s="187">
        <f t="shared" si="208"/>
        <v>0.219338328</v>
      </c>
      <c r="O746" s="187">
        <f t="shared" si="209"/>
        <v>3.3949843440000002E-2</v>
      </c>
      <c r="P746" s="188">
        <f t="shared" si="210"/>
        <v>8.4136599418709274E+17</v>
      </c>
      <c r="Q746" s="187">
        <f t="shared" si="211"/>
        <v>3126</v>
      </c>
      <c r="R746" s="219">
        <f t="shared" si="212"/>
        <v>7.5367860000000002</v>
      </c>
      <c r="S746" s="219">
        <f t="shared" si="213"/>
        <v>3.554262</v>
      </c>
      <c r="T746" s="219">
        <f t="shared" si="214"/>
        <v>53.948507999999997</v>
      </c>
      <c r="U746" s="219">
        <f t="shared" si="215"/>
        <v>1.11277875654</v>
      </c>
      <c r="V746" s="188">
        <f t="shared" si="216"/>
        <v>5.314457798821364E+16</v>
      </c>
      <c r="W746" s="323">
        <v>0.22839999999999999</v>
      </c>
      <c r="X746" s="323">
        <v>0.21</v>
      </c>
      <c r="Y746" s="323">
        <v>0.1084</v>
      </c>
      <c r="Z746" s="323">
        <v>5.21E-2</v>
      </c>
      <c r="AA746" s="323">
        <v>12.808999999999999</v>
      </c>
      <c r="AB746" s="323">
        <v>11.997</v>
      </c>
      <c r="AC746" s="323">
        <v>6.2830000000000004</v>
      </c>
      <c r="AD746" s="323">
        <v>2.411</v>
      </c>
      <c r="AE746" s="323">
        <v>1.7999999999999999E-2</v>
      </c>
      <c r="AF746" s="323">
        <v>2.1999999999999999E-2</v>
      </c>
      <c r="AG746" s="323">
        <v>8.7999999999999995E-2</v>
      </c>
      <c r="AH746" s="323">
        <v>1.137</v>
      </c>
      <c r="AI746" s="323">
        <v>1.7709999999999999</v>
      </c>
      <c r="AJ746" s="323">
        <v>2</v>
      </c>
      <c r="AK746" s="323">
        <v>4.9269999999999996</v>
      </c>
      <c r="AL746" s="323">
        <v>17.257999999999999</v>
      </c>
      <c r="AM746" s="323">
        <v>0.44</v>
      </c>
      <c r="AN746" s="323">
        <v>0.48</v>
      </c>
      <c r="AO746" s="323">
        <v>0.42</v>
      </c>
      <c r="AP746" s="323">
        <v>0.3</v>
      </c>
      <c r="AQ746" s="323">
        <v>0.49103000000000002</v>
      </c>
      <c r="AR746" s="323">
        <v>0.53063199999999999</v>
      </c>
      <c r="AS746" s="323">
        <v>0.47391</v>
      </c>
      <c r="AT746" s="323">
        <v>0.35597529</v>
      </c>
      <c r="AU746" s="190">
        <v>2894275228981512</v>
      </c>
      <c r="AV746" s="190">
        <v>3965785028097823.5</v>
      </c>
      <c r="AW746" s="190">
        <v>2.3801154569257552E+16</v>
      </c>
      <c r="AX746" s="190">
        <v>1.700082469232682E+16</v>
      </c>
      <c r="AY746" s="203">
        <v>0.8</v>
      </c>
      <c r="BA746" s="203">
        <v>1997</v>
      </c>
      <c r="BB746" s="204">
        <v>35684</v>
      </c>
      <c r="BC746" s="203" t="s">
        <v>3227</v>
      </c>
    </row>
    <row r="747" spans="1:55" x14ac:dyDescent="0.2">
      <c r="A747" s="184" t="s">
        <v>2752</v>
      </c>
      <c r="B747" s="184" t="s">
        <v>2752</v>
      </c>
      <c r="C747" s="184" t="s">
        <v>2718</v>
      </c>
      <c r="D747" s="185" t="s">
        <v>2692</v>
      </c>
      <c r="E747" s="184" t="s">
        <v>2753</v>
      </c>
      <c r="F747" s="184" t="s">
        <v>2753</v>
      </c>
      <c r="G747" s="186">
        <f>IF(ALECA_Input!$F$13="ICAO (3000ft)",'Aircraft Calc'!C$216,'Aircraft Calc'!G$216)</f>
        <v>0.5</v>
      </c>
      <c r="H747" s="186">
        <f>IF(ALECA_Input!$F$13="ICAO (3000ft)",'Aircraft Calc'!D$216,'Aircraft Calc'!H$216)</f>
        <v>2.5</v>
      </c>
      <c r="I747" s="186">
        <f>IF(ALECA_Input!$F$13="ICAO (3000ft)",'Aircraft Calc'!E$216,'Aircraft Calc'!I$216)</f>
        <v>4.5</v>
      </c>
      <c r="J747" s="189">
        <v>1</v>
      </c>
      <c r="K747" s="187">
        <f t="shared" si="205"/>
        <v>11.313000000000001</v>
      </c>
      <c r="L747" s="187">
        <f t="shared" si="206"/>
        <v>0.10236942</v>
      </c>
      <c r="M747" s="187">
        <f t="shared" si="207"/>
        <v>1.09728E-2</v>
      </c>
      <c r="N747" s="187">
        <f t="shared" si="208"/>
        <v>7.0652519999999996E-2</v>
      </c>
      <c r="O747" s="187">
        <f t="shared" si="209"/>
        <v>4.0889080800000002E-3</v>
      </c>
      <c r="P747" s="188">
        <f t="shared" si="210"/>
        <v>5.885489909773304E+16</v>
      </c>
      <c r="Q747" s="187">
        <f t="shared" si="211"/>
        <v>196.3961012123934</v>
      </c>
      <c r="R747" s="219">
        <f t="shared" si="212"/>
        <v>0.29828571428571526</v>
      </c>
      <c r="S747" s="219">
        <f t="shared" si="213"/>
        <v>58.795683698152658</v>
      </c>
      <c r="T747" s="219">
        <f t="shared" si="214"/>
        <v>31.283465481532666</v>
      </c>
      <c r="U747" s="219">
        <f t="shared" si="215"/>
        <v>0.40596865484027994</v>
      </c>
      <c r="V747" s="188">
        <f t="shared" si="216"/>
        <v>1903170541571973.8</v>
      </c>
      <c r="W747" s="323">
        <v>4.6800000000000001E-2</v>
      </c>
      <c r="X747" s="323">
        <v>4.3200000000000002E-2</v>
      </c>
      <c r="Y747" s="323">
        <v>1.2699999999999999E-2</v>
      </c>
      <c r="Z747" s="323">
        <v>3.2732683535398898E-3</v>
      </c>
      <c r="AA747" s="323">
        <v>9.58</v>
      </c>
      <c r="AB747" s="323">
        <v>9.33</v>
      </c>
      <c r="AC747" s="323">
        <v>8.3000000000000007</v>
      </c>
      <c r="AD747" s="323">
        <v>1.5187965160425101</v>
      </c>
      <c r="AE747" s="323">
        <v>0.16</v>
      </c>
      <c r="AF747" s="323">
        <v>0.05</v>
      </c>
      <c r="AG747" s="323">
        <v>3.04</v>
      </c>
      <c r="AH747" s="323">
        <v>299.37296787051702</v>
      </c>
      <c r="AI747" s="323">
        <v>1.1300000000000001</v>
      </c>
      <c r="AJ747" s="323">
        <v>1.98</v>
      </c>
      <c r="AK747" s="323">
        <v>16.399999999999999</v>
      </c>
      <c r="AL747" s="323">
        <v>159.28760952184601</v>
      </c>
      <c r="AM747" s="323">
        <v>0.27279999999999999</v>
      </c>
      <c r="AN747" s="323">
        <v>0.27479999999999999</v>
      </c>
      <c r="AO747" s="323">
        <v>0.2142</v>
      </c>
      <c r="AP747" s="323">
        <v>0.17100000000000001</v>
      </c>
      <c r="AQ747" s="323">
        <v>0.34016000000000002</v>
      </c>
      <c r="AR747" s="323">
        <v>0.32756000000000002</v>
      </c>
      <c r="AS747" s="323">
        <v>0.43415999999999999</v>
      </c>
      <c r="AT747" s="323">
        <v>2.06709121176109</v>
      </c>
      <c r="AU747" s="190">
        <v>1794450641968537.3</v>
      </c>
      <c r="AV747" s="190">
        <v>2270411928586004</v>
      </c>
      <c r="AW747" s="190">
        <v>1.213858883032135E+16</v>
      </c>
      <c r="AX747" s="190">
        <v>9690470074626288</v>
      </c>
      <c r="AY747" s="203">
        <v>0.1</v>
      </c>
      <c r="BB747" s="204">
        <v>37446</v>
      </c>
      <c r="BC747" s="203" t="s">
        <v>3227</v>
      </c>
    </row>
    <row r="748" spans="1:55" x14ac:dyDescent="0.2">
      <c r="A748" s="184" t="s">
        <v>2754</v>
      </c>
      <c r="B748" s="184" t="s">
        <v>2754</v>
      </c>
      <c r="C748" s="184" t="s">
        <v>2718</v>
      </c>
      <c r="D748" s="185" t="s">
        <v>2692</v>
      </c>
      <c r="E748" s="184" t="s">
        <v>2755</v>
      </c>
      <c r="F748" s="184" t="s">
        <v>2755</v>
      </c>
      <c r="G748" s="186">
        <f>IF(ALECA_Input!$F$13="ICAO (3000ft)",'Aircraft Calc'!C$216,'Aircraft Calc'!G$216)</f>
        <v>0.5</v>
      </c>
      <c r="H748" s="186">
        <f>IF(ALECA_Input!$F$13="ICAO (3000ft)",'Aircraft Calc'!D$216,'Aircraft Calc'!H$216)</f>
        <v>2.5</v>
      </c>
      <c r="I748" s="186">
        <f>IF(ALECA_Input!$F$13="ICAO (3000ft)",'Aircraft Calc'!E$216,'Aircraft Calc'!I$216)</f>
        <v>4.5</v>
      </c>
      <c r="J748" s="189">
        <v>1</v>
      </c>
      <c r="K748" s="187">
        <f t="shared" si="205"/>
        <v>18.93</v>
      </c>
      <c r="L748" s="187">
        <f t="shared" si="206"/>
        <v>0.20513100000000004</v>
      </c>
      <c r="M748" s="187">
        <f t="shared" si="207"/>
        <v>4.2921000000000001E-3</v>
      </c>
      <c r="N748" s="187">
        <f t="shared" si="208"/>
        <v>6.9046500000000011E-2</v>
      </c>
      <c r="O748" s="187">
        <f t="shared" si="209"/>
        <v>6.5711433000000012E-3</v>
      </c>
      <c r="P748" s="188">
        <f t="shared" si="210"/>
        <v>1.4670308210947514E+17</v>
      </c>
      <c r="Q748" s="187">
        <f t="shared" si="211"/>
        <v>644.17921197664805</v>
      </c>
      <c r="R748" s="219">
        <f t="shared" si="212"/>
        <v>1.9820571428571432</v>
      </c>
      <c r="S748" s="219">
        <f t="shared" si="213"/>
        <v>3.4533374941248884</v>
      </c>
      <c r="T748" s="219">
        <f t="shared" si="214"/>
        <v>35.962756079998499</v>
      </c>
      <c r="U748" s="219">
        <f t="shared" si="215"/>
        <v>0.165899558259029</v>
      </c>
      <c r="V748" s="188">
        <f t="shared" si="216"/>
        <v>6406673044154895</v>
      </c>
      <c r="W748" s="323">
        <v>5.8999999999999997E-2</v>
      </c>
      <c r="X748" s="323">
        <v>5.5E-2</v>
      </c>
      <c r="Y748" s="323">
        <v>3.3000000000000002E-2</v>
      </c>
      <c r="Z748" s="323">
        <v>1.0736320199610801E-2</v>
      </c>
      <c r="AA748" s="323">
        <v>11.3</v>
      </c>
      <c r="AB748" s="323">
        <v>11.1</v>
      </c>
      <c r="AC748" s="323">
        <v>10.5</v>
      </c>
      <c r="AD748" s="323">
        <v>3.0768722523275001</v>
      </c>
      <c r="AE748" s="323">
        <v>0.1</v>
      </c>
      <c r="AF748" s="323">
        <v>0.11</v>
      </c>
      <c r="AG748" s="323">
        <v>0.36</v>
      </c>
      <c r="AH748" s="323">
        <v>5.3608334915502898</v>
      </c>
      <c r="AI748" s="323">
        <v>2.15</v>
      </c>
      <c r="AJ748" s="323">
        <v>2.4</v>
      </c>
      <c r="AK748" s="323">
        <v>5.1000000000000005</v>
      </c>
      <c r="AL748" s="323">
        <v>55.827253365795002</v>
      </c>
      <c r="AM748" s="323">
        <v>0.32119999999999999</v>
      </c>
      <c r="AN748" s="323">
        <v>0.32400000000000001</v>
      </c>
      <c r="AO748" s="323">
        <v>0.2394</v>
      </c>
      <c r="AP748" s="323">
        <v>0.17549999999999999</v>
      </c>
      <c r="AQ748" s="323">
        <v>0.38166</v>
      </c>
      <c r="AR748" s="323">
        <v>0.38131999999999999</v>
      </c>
      <c r="AS748" s="323">
        <v>0.30861</v>
      </c>
      <c r="AT748" s="323">
        <v>0.25753634264286529</v>
      </c>
      <c r="AU748" s="190">
        <v>2112820917156503.8</v>
      </c>
      <c r="AV748" s="190">
        <v>2676904893966031</v>
      </c>
      <c r="AW748" s="190">
        <v>1.3566658104476804E+16</v>
      </c>
      <c r="AX748" s="190">
        <v>9945482445011190</v>
      </c>
      <c r="AY748" s="203">
        <v>0.2</v>
      </c>
      <c r="BB748" s="204">
        <v>37446</v>
      </c>
      <c r="BC748" s="203" t="s">
        <v>3227</v>
      </c>
    </row>
    <row r="749" spans="1:55" x14ac:dyDescent="0.2">
      <c r="A749" s="184" t="s">
        <v>2756</v>
      </c>
      <c r="B749" s="184" t="s">
        <v>2756</v>
      </c>
      <c r="C749" s="184" t="s">
        <v>2718</v>
      </c>
      <c r="D749" s="185" t="s">
        <v>2692</v>
      </c>
      <c r="E749" s="184" t="s">
        <v>2757</v>
      </c>
      <c r="F749" s="184" t="s">
        <v>2757</v>
      </c>
      <c r="G749" s="186">
        <f>IF(ALECA_Input!$F$13="ICAO (3000ft)",'Aircraft Calc'!C$216,'Aircraft Calc'!G$216)</f>
        <v>0.5</v>
      </c>
      <c r="H749" s="186">
        <f>IF(ALECA_Input!$F$13="ICAO (3000ft)",'Aircraft Calc'!D$216,'Aircraft Calc'!H$216)</f>
        <v>2.5</v>
      </c>
      <c r="I749" s="186">
        <f>IF(ALECA_Input!$F$13="ICAO (3000ft)",'Aircraft Calc'!E$216,'Aircraft Calc'!I$216)</f>
        <v>4.5</v>
      </c>
      <c r="J749" s="189">
        <v>1</v>
      </c>
      <c r="K749" s="187">
        <f t="shared" si="205"/>
        <v>18.93</v>
      </c>
      <c r="L749" s="187">
        <f t="shared" si="206"/>
        <v>0.20513100000000004</v>
      </c>
      <c r="M749" s="187">
        <f t="shared" si="207"/>
        <v>4.2921000000000001E-3</v>
      </c>
      <c r="N749" s="187">
        <f t="shared" si="208"/>
        <v>6.9046500000000011E-2</v>
      </c>
      <c r="O749" s="187">
        <f t="shared" si="209"/>
        <v>6.5711433000000012E-3</v>
      </c>
      <c r="P749" s="188">
        <f t="shared" si="210"/>
        <v>1.4670308210947514E+17</v>
      </c>
      <c r="Q749" s="187">
        <f t="shared" si="211"/>
        <v>644.17921197664805</v>
      </c>
      <c r="R749" s="219">
        <f t="shared" si="212"/>
        <v>1.9820571428571432</v>
      </c>
      <c r="S749" s="219">
        <f t="shared" si="213"/>
        <v>3.4533374941248884</v>
      </c>
      <c r="T749" s="219">
        <f t="shared" si="214"/>
        <v>35.962756079998499</v>
      </c>
      <c r="U749" s="219">
        <f t="shared" si="215"/>
        <v>0.165899558259029</v>
      </c>
      <c r="V749" s="188">
        <f t="shared" si="216"/>
        <v>6406673044154895</v>
      </c>
      <c r="W749" s="323">
        <v>5.8999999999999997E-2</v>
      </c>
      <c r="X749" s="323">
        <v>5.5E-2</v>
      </c>
      <c r="Y749" s="323">
        <v>3.3000000000000002E-2</v>
      </c>
      <c r="Z749" s="323">
        <v>1.0736320199610801E-2</v>
      </c>
      <c r="AA749" s="323">
        <v>11.3</v>
      </c>
      <c r="AB749" s="323">
        <v>11.1</v>
      </c>
      <c r="AC749" s="323">
        <v>10.5</v>
      </c>
      <c r="AD749" s="323">
        <v>3.0768722523275001</v>
      </c>
      <c r="AE749" s="323">
        <v>0.1</v>
      </c>
      <c r="AF749" s="323">
        <v>0.11</v>
      </c>
      <c r="AG749" s="323">
        <v>0.36</v>
      </c>
      <c r="AH749" s="323">
        <v>5.3608334915502898</v>
      </c>
      <c r="AI749" s="323">
        <v>2.15</v>
      </c>
      <c r="AJ749" s="323">
        <v>2.4</v>
      </c>
      <c r="AK749" s="323">
        <v>5.1000000000000005</v>
      </c>
      <c r="AL749" s="323">
        <v>55.827253365795002</v>
      </c>
      <c r="AM749" s="323">
        <v>0.32119999999999999</v>
      </c>
      <c r="AN749" s="323">
        <v>0.32400000000000001</v>
      </c>
      <c r="AO749" s="323">
        <v>0.2394</v>
      </c>
      <c r="AP749" s="323">
        <v>0.17549999999999999</v>
      </c>
      <c r="AQ749" s="323">
        <v>0.38166</v>
      </c>
      <c r="AR749" s="323">
        <v>0.38131999999999999</v>
      </c>
      <c r="AS749" s="323">
        <v>0.30861</v>
      </c>
      <c r="AT749" s="323">
        <v>0.25753634264286529</v>
      </c>
      <c r="AU749" s="190">
        <v>2112820917156503.8</v>
      </c>
      <c r="AV749" s="190">
        <v>2676904893966031</v>
      </c>
      <c r="AW749" s="190">
        <v>1.3566658104476804E+16</v>
      </c>
      <c r="AX749" s="190">
        <v>9945482445011190</v>
      </c>
      <c r="AY749" s="203">
        <v>0.2</v>
      </c>
      <c r="BB749" s="204">
        <v>37446</v>
      </c>
      <c r="BC749" s="203" t="s">
        <v>3227</v>
      </c>
    </row>
    <row r="750" spans="1:55" x14ac:dyDescent="0.2">
      <c r="A750" s="184" t="s">
        <v>2758</v>
      </c>
      <c r="B750" s="184" t="s">
        <v>2758</v>
      </c>
      <c r="C750" s="184" t="s">
        <v>2718</v>
      </c>
      <c r="D750" s="185" t="s">
        <v>2692</v>
      </c>
      <c r="E750" s="184" t="s">
        <v>2759</v>
      </c>
      <c r="F750" s="184" t="s">
        <v>2759</v>
      </c>
      <c r="G750" s="186">
        <f>IF(ALECA_Input!$F$13="ICAO (3000ft)",'Aircraft Calc'!C$216,'Aircraft Calc'!G$216)</f>
        <v>0.5</v>
      </c>
      <c r="H750" s="186">
        <f>IF(ALECA_Input!$F$13="ICAO (3000ft)",'Aircraft Calc'!D$216,'Aircraft Calc'!H$216)</f>
        <v>2.5</v>
      </c>
      <c r="I750" s="186">
        <f>IF(ALECA_Input!$F$13="ICAO (3000ft)",'Aircraft Calc'!E$216,'Aircraft Calc'!I$216)</f>
        <v>4.5</v>
      </c>
      <c r="J750" s="189">
        <v>1</v>
      </c>
      <c r="K750" s="187">
        <f t="shared" si="205"/>
        <v>19.086445139558716</v>
      </c>
      <c r="L750" s="187">
        <f t="shared" si="206"/>
        <v>0.20730592354345204</v>
      </c>
      <c r="M750" s="187">
        <f t="shared" si="207"/>
        <v>4.2882928525025633E-3</v>
      </c>
      <c r="N750" s="187">
        <f t="shared" si="208"/>
        <v>6.8896565513718519E-2</v>
      </c>
      <c r="O750" s="187">
        <f t="shared" si="209"/>
        <v>6.6292017360400132E-3</v>
      </c>
      <c r="P750" s="188">
        <f t="shared" si="210"/>
        <v>1.4712187086919706E+17</v>
      </c>
      <c r="Q750" s="187">
        <f t="shared" si="211"/>
        <v>644.17921197664805</v>
      </c>
      <c r="R750" s="219">
        <f t="shared" si="212"/>
        <v>1.9820571428571432</v>
      </c>
      <c r="S750" s="219">
        <f t="shared" si="213"/>
        <v>3.4533374941248884</v>
      </c>
      <c r="T750" s="219">
        <f t="shared" si="214"/>
        <v>35.962756079998499</v>
      </c>
      <c r="U750" s="219">
        <f t="shared" si="215"/>
        <v>0.165899558259029</v>
      </c>
      <c r="V750" s="188">
        <f t="shared" si="216"/>
        <v>6406673044154895</v>
      </c>
      <c r="W750" s="323">
        <v>5.8999999999999997E-2</v>
      </c>
      <c r="X750" s="323">
        <v>5.6042967597058103E-2</v>
      </c>
      <c r="Y750" s="323">
        <v>3.3000000000000002E-2</v>
      </c>
      <c r="Z750" s="323">
        <v>1.0736320199610801E-2</v>
      </c>
      <c r="AA750" s="323">
        <v>11.3</v>
      </c>
      <c r="AB750" s="323">
        <v>11.1521483798529</v>
      </c>
      <c r="AC750" s="323">
        <v>10.5</v>
      </c>
      <c r="AD750" s="323">
        <v>3.0768722523275001</v>
      </c>
      <c r="AE750" s="323">
        <v>0.1</v>
      </c>
      <c r="AF750" s="323">
        <v>0.1075</v>
      </c>
      <c r="AG750" s="323">
        <v>0.36</v>
      </c>
      <c r="AH750" s="323">
        <v>5.3608334915502898</v>
      </c>
      <c r="AI750" s="323">
        <v>2.15</v>
      </c>
      <c r="AJ750" s="323">
        <v>2.3374999999999999</v>
      </c>
      <c r="AK750" s="323">
        <v>5.1000000000000005</v>
      </c>
      <c r="AL750" s="323">
        <v>55.827253365795002</v>
      </c>
      <c r="AM750" s="323">
        <v>0.32119999999999999</v>
      </c>
      <c r="AN750" s="323">
        <v>0.32400000000000001</v>
      </c>
      <c r="AO750" s="323">
        <v>0.2394</v>
      </c>
      <c r="AP750" s="323">
        <v>0.17549999999999999</v>
      </c>
      <c r="AQ750" s="323">
        <v>0.38166</v>
      </c>
      <c r="AR750" s="323">
        <v>0.38113000000000002</v>
      </c>
      <c r="AS750" s="323">
        <v>0.30861</v>
      </c>
      <c r="AT750" s="323">
        <v>0.25753634264286529</v>
      </c>
      <c r="AU750" s="190">
        <v>2112820917156503.8</v>
      </c>
      <c r="AV750" s="190">
        <v>2676904893966031</v>
      </c>
      <c r="AW750" s="190">
        <v>1.3566658104476804E+16</v>
      </c>
      <c r="AX750" s="190">
        <v>9945482445011190</v>
      </c>
      <c r="AY750" s="203">
        <v>0.2</v>
      </c>
      <c r="BB750" s="204">
        <v>37446</v>
      </c>
      <c r="BC750" s="203" t="s">
        <v>3227</v>
      </c>
    </row>
    <row r="751" spans="1:55" x14ac:dyDescent="0.2">
      <c r="A751" s="184" t="s">
        <v>2760</v>
      </c>
      <c r="B751" s="184" t="s">
        <v>2760</v>
      </c>
      <c r="C751" s="184" t="s">
        <v>2718</v>
      </c>
      <c r="D751" s="185" t="s">
        <v>2692</v>
      </c>
      <c r="E751" s="184" t="s">
        <v>2761</v>
      </c>
      <c r="F751" s="184" t="s">
        <v>2761</v>
      </c>
      <c r="G751" s="186">
        <f>IF(ALECA_Input!$F$13="ICAO (3000ft)",'Aircraft Calc'!C$216,'Aircraft Calc'!G$216)</f>
        <v>0.5</v>
      </c>
      <c r="H751" s="186">
        <f>IF(ALECA_Input!$F$13="ICAO (3000ft)",'Aircraft Calc'!D$216,'Aircraft Calc'!H$216)</f>
        <v>2.5</v>
      </c>
      <c r="I751" s="186">
        <f>IF(ALECA_Input!$F$13="ICAO (3000ft)",'Aircraft Calc'!E$216,'Aircraft Calc'!I$216)</f>
        <v>4.5</v>
      </c>
      <c r="J751" s="189">
        <v>1</v>
      </c>
      <c r="K751" s="187">
        <f t="shared" si="205"/>
        <v>18.93</v>
      </c>
      <c r="L751" s="187">
        <f t="shared" si="206"/>
        <v>0.20513100000000004</v>
      </c>
      <c r="M751" s="187">
        <f t="shared" si="207"/>
        <v>4.2921000000000001E-3</v>
      </c>
      <c r="N751" s="187">
        <f t="shared" si="208"/>
        <v>6.9046500000000011E-2</v>
      </c>
      <c r="O751" s="187">
        <f t="shared" si="209"/>
        <v>6.5711433000000012E-3</v>
      </c>
      <c r="P751" s="188">
        <f t="shared" si="210"/>
        <v>1.4670308210947514E+17</v>
      </c>
      <c r="Q751" s="187">
        <f t="shared" si="211"/>
        <v>644.17921197664805</v>
      </c>
      <c r="R751" s="219">
        <f t="shared" si="212"/>
        <v>1.9820571428571432</v>
      </c>
      <c r="S751" s="219">
        <f t="shared" si="213"/>
        <v>3.4533374941248884</v>
      </c>
      <c r="T751" s="219">
        <f t="shared" si="214"/>
        <v>35.962756079998499</v>
      </c>
      <c r="U751" s="219">
        <f t="shared" si="215"/>
        <v>0.165899558259029</v>
      </c>
      <c r="V751" s="188">
        <f t="shared" si="216"/>
        <v>6406673044154895</v>
      </c>
      <c r="W751" s="323">
        <v>5.8999999999999997E-2</v>
      </c>
      <c r="X751" s="323">
        <v>5.5E-2</v>
      </c>
      <c r="Y751" s="323">
        <v>3.3000000000000002E-2</v>
      </c>
      <c r="Z751" s="323">
        <v>1.0736320199610801E-2</v>
      </c>
      <c r="AA751" s="323">
        <v>11.3</v>
      </c>
      <c r="AB751" s="323">
        <v>11.1</v>
      </c>
      <c r="AC751" s="323">
        <v>10.5</v>
      </c>
      <c r="AD751" s="323">
        <v>3.0768722523275001</v>
      </c>
      <c r="AE751" s="323">
        <v>0.1</v>
      </c>
      <c r="AF751" s="323">
        <v>0.11</v>
      </c>
      <c r="AG751" s="323">
        <v>0.36</v>
      </c>
      <c r="AH751" s="323">
        <v>5.3608334915502898</v>
      </c>
      <c r="AI751" s="323">
        <v>2.15</v>
      </c>
      <c r="AJ751" s="323">
        <v>2.4</v>
      </c>
      <c r="AK751" s="323">
        <v>5.1000000000000005</v>
      </c>
      <c r="AL751" s="323">
        <v>55.827253365795002</v>
      </c>
      <c r="AM751" s="323">
        <v>0.32119999999999999</v>
      </c>
      <c r="AN751" s="323">
        <v>0.32400000000000001</v>
      </c>
      <c r="AO751" s="323">
        <v>0.2394</v>
      </c>
      <c r="AP751" s="323">
        <v>0.17549999999999999</v>
      </c>
      <c r="AQ751" s="323">
        <v>0.38166</v>
      </c>
      <c r="AR751" s="323">
        <v>0.38131999999999999</v>
      </c>
      <c r="AS751" s="323">
        <v>0.30861</v>
      </c>
      <c r="AT751" s="323">
        <v>0.25753634264286529</v>
      </c>
      <c r="AU751" s="190">
        <v>2112820917156503.8</v>
      </c>
      <c r="AV751" s="190">
        <v>2676904893966031</v>
      </c>
      <c r="AW751" s="190">
        <v>1.3566658104476804E+16</v>
      </c>
      <c r="AX751" s="190">
        <v>9945482445011190</v>
      </c>
      <c r="AY751" s="203">
        <v>0.2</v>
      </c>
      <c r="BB751" s="204">
        <v>37446</v>
      </c>
      <c r="BC751" s="203" t="s">
        <v>3227</v>
      </c>
    </row>
    <row r="752" spans="1:55" x14ac:dyDescent="0.2">
      <c r="A752" s="184" t="s">
        <v>2762</v>
      </c>
      <c r="B752" s="184" t="s">
        <v>2762</v>
      </c>
      <c r="C752" s="184" t="s">
        <v>2718</v>
      </c>
      <c r="D752" s="185" t="s">
        <v>2692</v>
      </c>
      <c r="E752" s="184" t="s">
        <v>2763</v>
      </c>
      <c r="F752" s="184" t="s">
        <v>2763</v>
      </c>
      <c r="G752" s="186">
        <f>IF(ALECA_Input!$F$13="ICAO (3000ft)",'Aircraft Calc'!C$216,'Aircraft Calc'!G$216)</f>
        <v>0.5</v>
      </c>
      <c r="H752" s="186">
        <f>IF(ALECA_Input!$F$13="ICAO (3000ft)",'Aircraft Calc'!D$216,'Aircraft Calc'!H$216)</f>
        <v>2.5</v>
      </c>
      <c r="I752" s="186">
        <f>IF(ALECA_Input!$F$13="ICAO (3000ft)",'Aircraft Calc'!E$216,'Aircraft Calc'!I$216)</f>
        <v>4.5</v>
      </c>
      <c r="J752" s="189">
        <v>1</v>
      </c>
      <c r="K752" s="187">
        <f t="shared" si="205"/>
        <v>18.93</v>
      </c>
      <c r="L752" s="187">
        <f t="shared" si="206"/>
        <v>0.20513100000000004</v>
      </c>
      <c r="M752" s="187">
        <f t="shared" si="207"/>
        <v>4.2921000000000001E-3</v>
      </c>
      <c r="N752" s="187">
        <f t="shared" si="208"/>
        <v>6.9046500000000011E-2</v>
      </c>
      <c r="O752" s="187">
        <f t="shared" si="209"/>
        <v>6.5711433000000012E-3</v>
      </c>
      <c r="P752" s="188">
        <f t="shared" si="210"/>
        <v>1.4670308210947514E+17</v>
      </c>
      <c r="Q752" s="187">
        <f t="shared" si="211"/>
        <v>644.17921197664805</v>
      </c>
      <c r="R752" s="219">
        <f t="shared" si="212"/>
        <v>1.9820571428571432</v>
      </c>
      <c r="S752" s="219">
        <f t="shared" si="213"/>
        <v>3.4533374941248884</v>
      </c>
      <c r="T752" s="219">
        <f t="shared" si="214"/>
        <v>35.962756079998499</v>
      </c>
      <c r="U752" s="219">
        <f t="shared" si="215"/>
        <v>0.165899558259029</v>
      </c>
      <c r="V752" s="188">
        <f t="shared" si="216"/>
        <v>6406673044154895</v>
      </c>
      <c r="W752" s="323">
        <v>5.8999999999999997E-2</v>
      </c>
      <c r="X752" s="323">
        <v>5.5E-2</v>
      </c>
      <c r="Y752" s="323">
        <v>3.3000000000000002E-2</v>
      </c>
      <c r="Z752" s="323">
        <v>1.0736320199610801E-2</v>
      </c>
      <c r="AA752" s="323">
        <v>11.3</v>
      </c>
      <c r="AB752" s="323">
        <v>11.1</v>
      </c>
      <c r="AC752" s="323">
        <v>10.5</v>
      </c>
      <c r="AD752" s="323">
        <v>3.0768722523275001</v>
      </c>
      <c r="AE752" s="323">
        <v>0.1</v>
      </c>
      <c r="AF752" s="323">
        <v>0.11</v>
      </c>
      <c r="AG752" s="323">
        <v>0.36</v>
      </c>
      <c r="AH752" s="323">
        <v>5.3608334915502898</v>
      </c>
      <c r="AI752" s="323">
        <v>2.15</v>
      </c>
      <c r="AJ752" s="323">
        <v>2.4</v>
      </c>
      <c r="AK752" s="323">
        <v>5.1000000000000005</v>
      </c>
      <c r="AL752" s="323">
        <v>55.827253365795002</v>
      </c>
      <c r="AM752" s="323">
        <v>0.32119999999999999</v>
      </c>
      <c r="AN752" s="323">
        <v>0.32400000000000001</v>
      </c>
      <c r="AO752" s="323">
        <v>0.2394</v>
      </c>
      <c r="AP752" s="323">
        <v>0.17549999999999999</v>
      </c>
      <c r="AQ752" s="323">
        <v>0.38166</v>
      </c>
      <c r="AR752" s="323">
        <v>0.38131999999999999</v>
      </c>
      <c r="AS752" s="323">
        <v>0.30861</v>
      </c>
      <c r="AT752" s="323">
        <v>0.25753634264286529</v>
      </c>
      <c r="AU752" s="190">
        <v>2112820917156503.8</v>
      </c>
      <c r="AV752" s="190">
        <v>2676904893966031</v>
      </c>
      <c r="AW752" s="190">
        <v>1.3566658104476804E+16</v>
      </c>
      <c r="AX752" s="190">
        <v>9945482445011190</v>
      </c>
      <c r="AY752" s="203">
        <v>0.2</v>
      </c>
      <c r="BB752" s="204">
        <v>37446</v>
      </c>
      <c r="BC752" s="203" t="s">
        <v>3227</v>
      </c>
    </row>
    <row r="753" spans="1:55" x14ac:dyDescent="0.2">
      <c r="A753" s="184" t="s">
        <v>2764</v>
      </c>
      <c r="B753" s="184" t="s">
        <v>2764</v>
      </c>
      <c r="C753" s="184" t="s">
        <v>2718</v>
      </c>
      <c r="D753" s="185" t="s">
        <v>2692</v>
      </c>
      <c r="E753" s="184" t="s">
        <v>2765</v>
      </c>
      <c r="F753" s="184" t="s">
        <v>2765</v>
      </c>
      <c r="G753" s="186">
        <f>IF(ALECA_Input!$F$13="ICAO (3000ft)",'Aircraft Calc'!C$216,'Aircraft Calc'!G$216)</f>
        <v>0.5</v>
      </c>
      <c r="H753" s="186">
        <f>IF(ALECA_Input!$F$13="ICAO (3000ft)",'Aircraft Calc'!D$216,'Aircraft Calc'!H$216)</f>
        <v>2.5</v>
      </c>
      <c r="I753" s="186">
        <f>IF(ALECA_Input!$F$13="ICAO (3000ft)",'Aircraft Calc'!E$216,'Aircraft Calc'!I$216)</f>
        <v>4.5</v>
      </c>
      <c r="J753" s="189">
        <v>1</v>
      </c>
      <c r="K753" s="187">
        <f t="shared" si="205"/>
        <v>18.93</v>
      </c>
      <c r="L753" s="187">
        <f t="shared" si="206"/>
        <v>0.20513100000000004</v>
      </c>
      <c r="M753" s="187">
        <f t="shared" si="207"/>
        <v>4.2921000000000001E-3</v>
      </c>
      <c r="N753" s="187">
        <f t="shared" si="208"/>
        <v>6.9046500000000011E-2</v>
      </c>
      <c r="O753" s="187">
        <f t="shared" si="209"/>
        <v>6.5711433000000012E-3</v>
      </c>
      <c r="P753" s="188">
        <f t="shared" si="210"/>
        <v>1.4670308210947514E+17</v>
      </c>
      <c r="Q753" s="187">
        <f t="shared" si="211"/>
        <v>644.17921197664805</v>
      </c>
      <c r="R753" s="219">
        <f t="shared" si="212"/>
        <v>1.9820571428571432</v>
      </c>
      <c r="S753" s="219">
        <f t="shared" si="213"/>
        <v>3.4533374941248884</v>
      </c>
      <c r="T753" s="219">
        <f t="shared" si="214"/>
        <v>35.962756079998499</v>
      </c>
      <c r="U753" s="219">
        <f t="shared" si="215"/>
        <v>0.165899558259029</v>
      </c>
      <c r="V753" s="188">
        <f t="shared" si="216"/>
        <v>6406673044154895</v>
      </c>
      <c r="W753" s="323">
        <v>5.8999999999999997E-2</v>
      </c>
      <c r="X753" s="323">
        <v>5.5E-2</v>
      </c>
      <c r="Y753" s="323">
        <v>3.3000000000000002E-2</v>
      </c>
      <c r="Z753" s="323">
        <v>1.0736320199610801E-2</v>
      </c>
      <c r="AA753" s="323">
        <v>11.3</v>
      </c>
      <c r="AB753" s="323">
        <v>11.1</v>
      </c>
      <c r="AC753" s="323">
        <v>10.5</v>
      </c>
      <c r="AD753" s="323">
        <v>3.0768722523275001</v>
      </c>
      <c r="AE753" s="323">
        <v>0.1</v>
      </c>
      <c r="AF753" s="323">
        <v>0.11</v>
      </c>
      <c r="AG753" s="323">
        <v>0.36</v>
      </c>
      <c r="AH753" s="323">
        <v>5.3608334915502898</v>
      </c>
      <c r="AI753" s="323">
        <v>2.15</v>
      </c>
      <c r="AJ753" s="323">
        <v>2.4</v>
      </c>
      <c r="AK753" s="323">
        <v>5.1000000000000005</v>
      </c>
      <c r="AL753" s="323">
        <v>55.827253365795002</v>
      </c>
      <c r="AM753" s="323">
        <v>0.32119999999999999</v>
      </c>
      <c r="AN753" s="323">
        <v>0.32400000000000001</v>
      </c>
      <c r="AO753" s="323">
        <v>0.2394</v>
      </c>
      <c r="AP753" s="323">
        <v>0.17549999999999999</v>
      </c>
      <c r="AQ753" s="323">
        <v>0.38166</v>
      </c>
      <c r="AR753" s="323">
        <v>0.38131999999999999</v>
      </c>
      <c r="AS753" s="323">
        <v>0.30861</v>
      </c>
      <c r="AT753" s="323">
        <v>0.25753634264286529</v>
      </c>
      <c r="AU753" s="190">
        <v>2112820917156503.8</v>
      </c>
      <c r="AV753" s="190">
        <v>2676904893966031</v>
      </c>
      <c r="AW753" s="190">
        <v>1.3566658104476804E+16</v>
      </c>
      <c r="AX753" s="190">
        <v>9945482445011190</v>
      </c>
      <c r="AY753" s="203">
        <v>0.2</v>
      </c>
      <c r="BB753" s="204">
        <v>37446</v>
      </c>
      <c r="BC753" s="203" t="s">
        <v>3227</v>
      </c>
    </row>
    <row r="754" spans="1:55" x14ac:dyDescent="0.2">
      <c r="A754" s="184" t="s">
        <v>2766</v>
      </c>
      <c r="B754" s="184" t="s">
        <v>2766</v>
      </c>
      <c r="C754" s="184" t="s">
        <v>2718</v>
      </c>
      <c r="D754" s="185" t="s">
        <v>2692</v>
      </c>
      <c r="E754" s="184" t="s">
        <v>2767</v>
      </c>
      <c r="F754" s="184" t="s">
        <v>2767</v>
      </c>
      <c r="G754" s="186">
        <f>IF(ALECA_Input!$F$13="ICAO (3000ft)",'Aircraft Calc'!C$216,'Aircraft Calc'!G$216)</f>
        <v>0.5</v>
      </c>
      <c r="H754" s="186">
        <f>IF(ALECA_Input!$F$13="ICAO (3000ft)",'Aircraft Calc'!D$216,'Aircraft Calc'!H$216)</f>
        <v>2.5</v>
      </c>
      <c r="I754" s="186">
        <f>IF(ALECA_Input!$F$13="ICAO (3000ft)",'Aircraft Calc'!E$216,'Aircraft Calc'!I$216)</f>
        <v>4.5</v>
      </c>
      <c r="J754" s="189">
        <v>1</v>
      </c>
      <c r="K754" s="187">
        <f t="shared" si="205"/>
        <v>18.93</v>
      </c>
      <c r="L754" s="187">
        <f t="shared" si="206"/>
        <v>0.20513100000000004</v>
      </c>
      <c r="M754" s="187">
        <f t="shared" si="207"/>
        <v>4.2921000000000001E-3</v>
      </c>
      <c r="N754" s="187">
        <f t="shared" si="208"/>
        <v>6.9046500000000011E-2</v>
      </c>
      <c r="O754" s="187">
        <f t="shared" si="209"/>
        <v>6.3765093000000004E-3</v>
      </c>
      <c r="P754" s="188">
        <f t="shared" si="210"/>
        <v>1.4211518716303174E+17</v>
      </c>
      <c r="Q754" s="187">
        <f t="shared" si="211"/>
        <v>644.17921197664805</v>
      </c>
      <c r="R754" s="219">
        <f t="shared" si="212"/>
        <v>1.9820571428571432</v>
      </c>
      <c r="S754" s="219">
        <f t="shared" si="213"/>
        <v>3.4533374941248884</v>
      </c>
      <c r="T754" s="219">
        <f t="shared" si="214"/>
        <v>35.962756079998499</v>
      </c>
      <c r="U754" s="219">
        <f t="shared" si="215"/>
        <v>0.16493328944106403</v>
      </c>
      <c r="V754" s="188">
        <f t="shared" si="216"/>
        <v>6351915154888614</v>
      </c>
      <c r="W754" s="323">
        <v>5.8999999999999997E-2</v>
      </c>
      <c r="X754" s="323">
        <v>5.5E-2</v>
      </c>
      <c r="Y754" s="323">
        <v>3.3000000000000002E-2</v>
      </c>
      <c r="Z754" s="323">
        <v>1.0736320199610801E-2</v>
      </c>
      <c r="AA754" s="323">
        <v>11.3</v>
      </c>
      <c r="AB754" s="323">
        <v>11.1</v>
      </c>
      <c r="AC754" s="323">
        <v>10.5</v>
      </c>
      <c r="AD754" s="323">
        <v>3.0768722523275001</v>
      </c>
      <c r="AE754" s="323">
        <v>0.1</v>
      </c>
      <c r="AF754" s="323">
        <v>0.11</v>
      </c>
      <c r="AG754" s="323">
        <v>0.36</v>
      </c>
      <c r="AH754" s="323">
        <v>5.3608334915502898</v>
      </c>
      <c r="AI754" s="323">
        <v>2.15</v>
      </c>
      <c r="AJ754" s="323">
        <v>2.4</v>
      </c>
      <c r="AK754" s="323">
        <v>5.1000000000000005</v>
      </c>
      <c r="AL754" s="323">
        <v>55.827253365795002</v>
      </c>
      <c r="AM754" s="323">
        <v>0.308</v>
      </c>
      <c r="AN754" s="323">
        <v>0.31080000000000002</v>
      </c>
      <c r="AO754" s="323">
        <v>0.2324</v>
      </c>
      <c r="AP754" s="323">
        <v>0.17399999999999999</v>
      </c>
      <c r="AQ754" s="323">
        <v>0.36846000000000001</v>
      </c>
      <c r="AR754" s="323">
        <v>0.36812</v>
      </c>
      <c r="AS754" s="323">
        <v>0.30160999999999999</v>
      </c>
      <c r="AT754" s="323">
        <v>0.25603634264286529</v>
      </c>
      <c r="AU754" s="190">
        <v>2025992660287058.3</v>
      </c>
      <c r="AV754" s="190">
        <v>2567845805693341</v>
      </c>
      <c r="AW754" s="190">
        <v>1.3169972194989176E+16</v>
      </c>
      <c r="AX754" s="190">
        <v>9860478321549556</v>
      </c>
      <c r="AY754" s="203">
        <v>0.2</v>
      </c>
      <c r="BB754" s="204">
        <v>37446</v>
      </c>
      <c r="BC754" s="203" t="s">
        <v>3227</v>
      </c>
    </row>
    <row r="755" spans="1:55" x14ac:dyDescent="0.2">
      <c r="A755" s="184" t="s">
        <v>2768</v>
      </c>
      <c r="B755" s="184" t="s">
        <v>2768</v>
      </c>
      <c r="C755" s="184" t="s">
        <v>2718</v>
      </c>
      <c r="D755" s="185" t="s">
        <v>2692</v>
      </c>
      <c r="E755" s="184" t="s">
        <v>2769</v>
      </c>
      <c r="F755" s="184" t="s">
        <v>2769</v>
      </c>
      <c r="G755" s="186">
        <f>IF(ALECA_Input!$F$13="ICAO (3000ft)",'Aircraft Calc'!C$216,'Aircraft Calc'!G$216)</f>
        <v>0.5</v>
      </c>
      <c r="H755" s="186">
        <f>IF(ALECA_Input!$F$13="ICAO (3000ft)",'Aircraft Calc'!D$216,'Aircraft Calc'!H$216)</f>
        <v>2.5</v>
      </c>
      <c r="I755" s="186">
        <f>IF(ALECA_Input!$F$13="ICAO (3000ft)",'Aircraft Calc'!E$216,'Aircraft Calc'!I$216)</f>
        <v>4.5</v>
      </c>
      <c r="J755" s="189">
        <v>1</v>
      </c>
      <c r="K755" s="187">
        <f t="shared" si="205"/>
        <v>18.93</v>
      </c>
      <c r="L755" s="187">
        <f t="shared" si="206"/>
        <v>0.20513100000000004</v>
      </c>
      <c r="M755" s="187">
        <f t="shared" si="207"/>
        <v>4.2921000000000001E-3</v>
      </c>
      <c r="N755" s="187">
        <f t="shared" si="208"/>
        <v>6.9046500000000011E-2</v>
      </c>
      <c r="O755" s="187">
        <f t="shared" si="209"/>
        <v>6.5711433000000012E-3</v>
      </c>
      <c r="P755" s="188">
        <f t="shared" si="210"/>
        <v>1.4670308210947514E+17</v>
      </c>
      <c r="Q755" s="187">
        <f t="shared" si="211"/>
        <v>644.17921197664805</v>
      </c>
      <c r="R755" s="219">
        <f t="shared" si="212"/>
        <v>1.9820571428571432</v>
      </c>
      <c r="S755" s="219">
        <f t="shared" si="213"/>
        <v>3.4533374941248884</v>
      </c>
      <c r="T755" s="219">
        <f t="shared" si="214"/>
        <v>35.962756079998499</v>
      </c>
      <c r="U755" s="219">
        <f t="shared" si="215"/>
        <v>0.165899558259029</v>
      </c>
      <c r="V755" s="188">
        <f t="shared" si="216"/>
        <v>6406673044154895</v>
      </c>
      <c r="W755" s="323">
        <v>5.8999999999999997E-2</v>
      </c>
      <c r="X755" s="323">
        <v>5.5E-2</v>
      </c>
      <c r="Y755" s="323">
        <v>3.3000000000000002E-2</v>
      </c>
      <c r="Z755" s="323">
        <v>1.0736320199610801E-2</v>
      </c>
      <c r="AA755" s="323">
        <v>11.3</v>
      </c>
      <c r="AB755" s="323">
        <v>11.1</v>
      </c>
      <c r="AC755" s="323">
        <v>10.5</v>
      </c>
      <c r="AD755" s="323">
        <v>3.0768722523275001</v>
      </c>
      <c r="AE755" s="323">
        <v>0.1</v>
      </c>
      <c r="AF755" s="323">
        <v>0.11</v>
      </c>
      <c r="AG755" s="323">
        <v>0.36</v>
      </c>
      <c r="AH755" s="323">
        <v>5.3608334915502898</v>
      </c>
      <c r="AI755" s="323">
        <v>2.15</v>
      </c>
      <c r="AJ755" s="323">
        <v>2.4</v>
      </c>
      <c r="AK755" s="323">
        <v>5.1000000000000005</v>
      </c>
      <c r="AL755" s="323">
        <v>55.827253365795002</v>
      </c>
      <c r="AM755" s="323">
        <v>0.32119999999999999</v>
      </c>
      <c r="AN755" s="323">
        <v>0.32400000000000001</v>
      </c>
      <c r="AO755" s="323">
        <v>0.2394</v>
      </c>
      <c r="AP755" s="323">
        <v>0.17549999999999999</v>
      </c>
      <c r="AQ755" s="323">
        <v>0.38166</v>
      </c>
      <c r="AR755" s="323">
        <v>0.38131999999999999</v>
      </c>
      <c r="AS755" s="323">
        <v>0.30861</v>
      </c>
      <c r="AT755" s="323">
        <v>0.25753634264286529</v>
      </c>
      <c r="AU755" s="190">
        <v>2112820917156503.8</v>
      </c>
      <c r="AV755" s="190">
        <v>2676904893966031</v>
      </c>
      <c r="AW755" s="190">
        <v>1.3566658104476804E+16</v>
      </c>
      <c r="AX755" s="190">
        <v>9945482445011190</v>
      </c>
      <c r="AY755" s="203">
        <v>0.2</v>
      </c>
      <c r="BB755" s="204">
        <v>37446</v>
      </c>
      <c r="BC755" s="203" t="s">
        <v>3227</v>
      </c>
    </row>
    <row r="756" spans="1:55" x14ac:dyDescent="0.2">
      <c r="A756" s="184" t="s">
        <v>2770</v>
      </c>
      <c r="B756" s="184" t="s">
        <v>2770</v>
      </c>
      <c r="C756" s="184" t="s">
        <v>2718</v>
      </c>
      <c r="D756" s="185" t="s">
        <v>2692</v>
      </c>
      <c r="E756" s="184" t="s">
        <v>2771</v>
      </c>
      <c r="F756" s="184" t="s">
        <v>2771</v>
      </c>
      <c r="G756" s="186">
        <f>IF(ALECA_Input!$F$13="ICAO (3000ft)",'Aircraft Calc'!C$216,'Aircraft Calc'!G$216)</f>
        <v>0.5</v>
      </c>
      <c r="H756" s="186">
        <f>IF(ALECA_Input!$F$13="ICAO (3000ft)",'Aircraft Calc'!D$216,'Aircraft Calc'!H$216)</f>
        <v>2.5</v>
      </c>
      <c r="I756" s="186">
        <f>IF(ALECA_Input!$F$13="ICAO (3000ft)",'Aircraft Calc'!E$216,'Aircraft Calc'!I$216)</f>
        <v>4.5</v>
      </c>
      <c r="J756" s="189">
        <v>1</v>
      </c>
      <c r="K756" s="187">
        <f t="shared" si="205"/>
        <v>18.93</v>
      </c>
      <c r="L756" s="187">
        <f t="shared" si="206"/>
        <v>0.20513100000000004</v>
      </c>
      <c r="M756" s="187">
        <f t="shared" si="207"/>
        <v>4.2921000000000001E-3</v>
      </c>
      <c r="N756" s="187">
        <f t="shared" si="208"/>
        <v>6.9046500000000011E-2</v>
      </c>
      <c r="O756" s="187">
        <f t="shared" si="209"/>
        <v>6.7158152999999996E-3</v>
      </c>
      <c r="P756" s="188">
        <f t="shared" si="210"/>
        <v>1.5028747114504499E+17</v>
      </c>
      <c r="Q756" s="187">
        <f t="shared" si="211"/>
        <v>644.17921197664805</v>
      </c>
      <c r="R756" s="219">
        <f t="shared" si="212"/>
        <v>1.9820571428571432</v>
      </c>
      <c r="S756" s="219">
        <f t="shared" si="213"/>
        <v>3.4533374941248884</v>
      </c>
      <c r="T756" s="219">
        <f t="shared" si="214"/>
        <v>35.962756079998499</v>
      </c>
      <c r="U756" s="219">
        <f t="shared" si="215"/>
        <v>0.16686582707699396</v>
      </c>
      <c r="V756" s="188">
        <f t="shared" si="216"/>
        <v>6461430933421177</v>
      </c>
      <c r="W756" s="323">
        <v>5.8999999999999997E-2</v>
      </c>
      <c r="X756" s="323">
        <v>5.5E-2</v>
      </c>
      <c r="Y756" s="323">
        <v>3.3000000000000002E-2</v>
      </c>
      <c r="Z756" s="323">
        <v>1.0736320199610801E-2</v>
      </c>
      <c r="AA756" s="323">
        <v>11.3</v>
      </c>
      <c r="AB756" s="323">
        <v>11.1</v>
      </c>
      <c r="AC756" s="323">
        <v>10.5</v>
      </c>
      <c r="AD756" s="323">
        <v>3.0768722523275001</v>
      </c>
      <c r="AE756" s="323">
        <v>0.1</v>
      </c>
      <c r="AF756" s="323">
        <v>0.11</v>
      </c>
      <c r="AG756" s="323">
        <v>0.36</v>
      </c>
      <c r="AH756" s="323">
        <v>5.3608334915502898</v>
      </c>
      <c r="AI756" s="323">
        <v>2.15</v>
      </c>
      <c r="AJ756" s="323">
        <v>2.4</v>
      </c>
      <c r="AK756" s="323">
        <v>5.1000000000000005</v>
      </c>
      <c r="AL756" s="323">
        <v>55.827253365795002</v>
      </c>
      <c r="AM756" s="323">
        <v>0.33</v>
      </c>
      <c r="AN756" s="323">
        <v>0.33360000000000001</v>
      </c>
      <c r="AO756" s="323">
        <v>0.245</v>
      </c>
      <c r="AP756" s="323">
        <v>0.17699999999999999</v>
      </c>
      <c r="AQ756" s="323">
        <v>0.39045999999999997</v>
      </c>
      <c r="AR756" s="323">
        <v>0.39091999999999999</v>
      </c>
      <c r="AS756" s="323">
        <v>0.31420999999999999</v>
      </c>
      <c r="AT756" s="323">
        <v>0.25903634264286529</v>
      </c>
      <c r="AU756" s="190">
        <v>2170706421736133.8</v>
      </c>
      <c r="AV756" s="190">
        <v>2756220594527988</v>
      </c>
      <c r="AW756" s="190">
        <v>1.3884006832066902E+16</v>
      </c>
      <c r="AX756" s="190">
        <v>1.0030486568472824E+16</v>
      </c>
      <c r="AY756" s="203">
        <v>0.2</v>
      </c>
      <c r="BB756" s="204">
        <v>37446</v>
      </c>
      <c r="BC756" s="203" t="s">
        <v>3227</v>
      </c>
    </row>
    <row r="757" spans="1:55" x14ac:dyDescent="0.2">
      <c r="A757" s="184" t="s">
        <v>2772</v>
      </c>
      <c r="B757" s="184" t="s">
        <v>2772</v>
      </c>
      <c r="C757" s="184" t="s">
        <v>2718</v>
      </c>
      <c r="D757" s="185" t="s">
        <v>2692</v>
      </c>
      <c r="E757" s="184" t="s">
        <v>2773</v>
      </c>
      <c r="F757" s="184" t="s">
        <v>2773</v>
      </c>
      <c r="G757" s="186">
        <f>IF(ALECA_Input!$F$13="ICAO (3000ft)",'Aircraft Calc'!C$216,'Aircraft Calc'!G$216)</f>
        <v>0.5</v>
      </c>
      <c r="H757" s="186">
        <f>IF(ALECA_Input!$F$13="ICAO (3000ft)",'Aircraft Calc'!D$216,'Aircraft Calc'!H$216)</f>
        <v>2.5</v>
      </c>
      <c r="I757" s="186">
        <f>IF(ALECA_Input!$F$13="ICAO (3000ft)",'Aircraft Calc'!E$216,'Aircraft Calc'!I$216)</f>
        <v>4.5</v>
      </c>
      <c r="J757" s="189">
        <v>1</v>
      </c>
      <c r="K757" s="187">
        <f t="shared" si="205"/>
        <v>18.93</v>
      </c>
      <c r="L757" s="187">
        <f t="shared" si="206"/>
        <v>0.20513100000000004</v>
      </c>
      <c r="M757" s="187">
        <f t="shared" si="207"/>
        <v>4.2921000000000001E-3</v>
      </c>
      <c r="N757" s="187">
        <f t="shared" si="208"/>
        <v>6.9046500000000011E-2</v>
      </c>
      <c r="O757" s="187">
        <f t="shared" si="209"/>
        <v>6.6073113000000008E-3</v>
      </c>
      <c r="P757" s="188">
        <f t="shared" si="210"/>
        <v>1.4759917936836758E+17</v>
      </c>
      <c r="Q757" s="187">
        <f t="shared" si="211"/>
        <v>644.17921197664805</v>
      </c>
      <c r="R757" s="219">
        <f t="shared" si="212"/>
        <v>1.9820571428571432</v>
      </c>
      <c r="S757" s="219">
        <f t="shared" si="213"/>
        <v>3.4533374941248884</v>
      </c>
      <c r="T757" s="219">
        <f t="shared" si="214"/>
        <v>35.962756079998499</v>
      </c>
      <c r="U757" s="219">
        <f t="shared" si="215"/>
        <v>0.165899558259029</v>
      </c>
      <c r="V757" s="188">
        <f t="shared" si="216"/>
        <v>6406673044154895</v>
      </c>
      <c r="W757" s="323">
        <v>5.8999999999999997E-2</v>
      </c>
      <c r="X757" s="323">
        <v>5.5E-2</v>
      </c>
      <c r="Y757" s="323">
        <v>3.3000000000000002E-2</v>
      </c>
      <c r="Z757" s="323">
        <v>1.0736320199610801E-2</v>
      </c>
      <c r="AA757" s="323">
        <v>11.3</v>
      </c>
      <c r="AB757" s="323">
        <v>11.1</v>
      </c>
      <c r="AC757" s="323">
        <v>10.5</v>
      </c>
      <c r="AD757" s="323">
        <v>3.0768722523275001</v>
      </c>
      <c r="AE757" s="323">
        <v>0.1</v>
      </c>
      <c r="AF757" s="323">
        <v>0.11</v>
      </c>
      <c r="AG757" s="323">
        <v>0.36</v>
      </c>
      <c r="AH757" s="323">
        <v>5.3608334915502898</v>
      </c>
      <c r="AI757" s="323">
        <v>2.15</v>
      </c>
      <c r="AJ757" s="323">
        <v>2.4</v>
      </c>
      <c r="AK757" s="323">
        <v>5.1000000000000005</v>
      </c>
      <c r="AL757" s="323">
        <v>55.827253365795002</v>
      </c>
      <c r="AM757" s="323">
        <v>0.32340000000000002</v>
      </c>
      <c r="AN757" s="323">
        <v>0.32640000000000002</v>
      </c>
      <c r="AO757" s="323">
        <v>0.24079999999999999</v>
      </c>
      <c r="AP757" s="323">
        <v>0.17549999999999999</v>
      </c>
      <c r="AQ757" s="323">
        <v>0.38385999999999998</v>
      </c>
      <c r="AR757" s="323">
        <v>0.38372000000000001</v>
      </c>
      <c r="AS757" s="323">
        <v>0.31001000000000001</v>
      </c>
      <c r="AT757" s="323">
        <v>0.25753634264286529</v>
      </c>
      <c r="AU757" s="190">
        <v>2127292293301411.3</v>
      </c>
      <c r="AV757" s="190">
        <v>2696733819106520</v>
      </c>
      <c r="AW757" s="190">
        <v>1.3645995286374328E+16</v>
      </c>
      <c r="AX757" s="190">
        <v>9945482445011190</v>
      </c>
      <c r="AY757" s="203">
        <v>0.2</v>
      </c>
      <c r="BB757" s="204">
        <v>37446</v>
      </c>
      <c r="BC757" s="203" t="s">
        <v>3227</v>
      </c>
    </row>
    <row r="758" spans="1:55" x14ac:dyDescent="0.2">
      <c r="A758" s="184" t="s">
        <v>2774</v>
      </c>
      <c r="B758" s="184" t="s">
        <v>2774</v>
      </c>
      <c r="C758" s="184" t="s">
        <v>2718</v>
      </c>
      <c r="D758" s="185" t="s">
        <v>2692</v>
      </c>
      <c r="E758" s="184" t="s">
        <v>2775</v>
      </c>
      <c r="F758" s="184" t="s">
        <v>2775</v>
      </c>
      <c r="G758" s="186">
        <f>IF(ALECA_Input!$F$13="ICAO (3000ft)",'Aircraft Calc'!C$216,'Aircraft Calc'!G$216)</f>
        <v>0.5</v>
      </c>
      <c r="H758" s="186">
        <f>IF(ALECA_Input!$F$13="ICAO (3000ft)",'Aircraft Calc'!D$216,'Aircraft Calc'!H$216)</f>
        <v>2.5</v>
      </c>
      <c r="I758" s="186">
        <f>IF(ALECA_Input!$F$13="ICAO (3000ft)",'Aircraft Calc'!E$216,'Aircraft Calc'!I$216)</f>
        <v>4.5</v>
      </c>
      <c r="J758" s="189">
        <v>1</v>
      </c>
      <c r="K758" s="187">
        <f t="shared" si="205"/>
        <v>22.187999999999999</v>
      </c>
      <c r="L758" s="187">
        <f t="shared" si="206"/>
        <v>0.21842094000000001</v>
      </c>
      <c r="M758" s="187">
        <f t="shared" si="207"/>
        <v>6.4756200000000005E-3</v>
      </c>
      <c r="N758" s="187">
        <f t="shared" si="208"/>
        <v>6.6511620000000007E-2</v>
      </c>
      <c r="O758" s="187">
        <f t="shared" si="209"/>
        <v>8.2639876050000002E-3</v>
      </c>
      <c r="P758" s="188">
        <f t="shared" si="210"/>
        <v>1.8184639595910054E+17</v>
      </c>
      <c r="Q758" s="187">
        <f t="shared" si="211"/>
        <v>746.30518460709595</v>
      </c>
      <c r="R758" s="219">
        <f t="shared" si="212"/>
        <v>2.1301714285714413</v>
      </c>
      <c r="S758" s="219">
        <f t="shared" si="213"/>
        <v>14.979443902976309</v>
      </c>
      <c r="T758" s="219">
        <f t="shared" si="214"/>
        <v>60.789845137894403</v>
      </c>
      <c r="U758" s="219">
        <f t="shared" si="215"/>
        <v>0.26217774617209377</v>
      </c>
      <c r="V758" s="188">
        <f t="shared" si="216"/>
        <v>7549243148235506</v>
      </c>
      <c r="W758" s="323">
        <v>7.2800000000000004E-2</v>
      </c>
      <c r="X758" s="323">
        <v>6.4600000000000005E-2</v>
      </c>
      <c r="Y758" s="323">
        <v>3.8199999999999998E-2</v>
      </c>
      <c r="Z758" s="323">
        <v>1.24384197434516E-2</v>
      </c>
      <c r="AA758" s="323">
        <v>9.68</v>
      </c>
      <c r="AB758" s="323">
        <v>9.6300000000000008</v>
      </c>
      <c r="AC758" s="323">
        <v>10.08</v>
      </c>
      <c r="AD758" s="323">
        <v>2.8542900042867898</v>
      </c>
      <c r="AE758" s="323">
        <v>0.13</v>
      </c>
      <c r="AF758" s="323">
        <v>0.16</v>
      </c>
      <c r="AG758" s="323">
        <v>0.45</v>
      </c>
      <c r="AH758" s="323">
        <v>20.071472384132601</v>
      </c>
      <c r="AI758" s="323">
        <v>1.67</v>
      </c>
      <c r="AJ758" s="323">
        <v>1.9000000000000001</v>
      </c>
      <c r="AK758" s="323">
        <v>4.3100000000000005</v>
      </c>
      <c r="AL758" s="323">
        <v>81.454405505568303</v>
      </c>
      <c r="AM758" s="323">
        <v>0.34539999999999998</v>
      </c>
      <c r="AN758" s="323">
        <v>0.34920000000000001</v>
      </c>
      <c r="AO758" s="323">
        <v>0.25480000000000003</v>
      </c>
      <c r="AP758" s="323">
        <v>0.17849999999999999</v>
      </c>
      <c r="AQ758" s="323">
        <v>0.40931000000000001</v>
      </c>
      <c r="AR758" s="323">
        <v>0.41032000000000002</v>
      </c>
      <c r="AS758" s="323">
        <v>0.32907249999999999</v>
      </c>
      <c r="AT758" s="323">
        <v>0.35130098461009801</v>
      </c>
      <c r="AU758" s="190">
        <v>2272006054750486.5</v>
      </c>
      <c r="AV758" s="190">
        <v>2885108607941167</v>
      </c>
      <c r="AW758" s="190">
        <v>1.443936710534958E+16</v>
      </c>
      <c r="AX758" s="190">
        <v>1.0115490691934458E+16</v>
      </c>
      <c r="AY758" s="203">
        <v>0.3</v>
      </c>
      <c r="BB758" s="204">
        <v>37446</v>
      </c>
      <c r="BC758" s="203" t="s">
        <v>3227</v>
      </c>
    </row>
    <row r="759" spans="1:55" x14ac:dyDescent="0.2">
      <c r="A759" s="184" t="s">
        <v>2776</v>
      </c>
      <c r="B759" s="184" t="s">
        <v>2776</v>
      </c>
      <c r="C759" s="184" t="s">
        <v>2718</v>
      </c>
      <c r="D759" s="185" t="s">
        <v>2692</v>
      </c>
      <c r="E759" s="184" t="s">
        <v>2777</v>
      </c>
      <c r="F759" s="184" t="s">
        <v>2777</v>
      </c>
      <c r="G759" s="186">
        <f>IF(ALECA_Input!$F$13="ICAO (3000ft)",'Aircraft Calc'!C$216,'Aircraft Calc'!G$216)</f>
        <v>0.5</v>
      </c>
      <c r="H759" s="186">
        <f>IF(ALECA_Input!$F$13="ICAO (3000ft)",'Aircraft Calc'!D$216,'Aircraft Calc'!H$216)</f>
        <v>2.5</v>
      </c>
      <c r="I759" s="186">
        <f>IF(ALECA_Input!$F$13="ICAO (3000ft)",'Aircraft Calc'!E$216,'Aircraft Calc'!I$216)</f>
        <v>4.5</v>
      </c>
      <c r="J759" s="189">
        <v>1</v>
      </c>
      <c r="K759" s="187">
        <f t="shared" si="205"/>
        <v>22.187999999999999</v>
      </c>
      <c r="L759" s="187">
        <f t="shared" si="206"/>
        <v>0.21842094000000001</v>
      </c>
      <c r="M759" s="187">
        <f t="shared" si="207"/>
        <v>6.4756200000000005E-3</v>
      </c>
      <c r="N759" s="187">
        <f t="shared" si="208"/>
        <v>6.6511620000000007E-2</v>
      </c>
      <c r="O759" s="187">
        <f t="shared" si="209"/>
        <v>8.2639876050000002E-3</v>
      </c>
      <c r="P759" s="188">
        <f t="shared" si="210"/>
        <v>1.8184639595910054E+17</v>
      </c>
      <c r="Q759" s="187">
        <f t="shared" si="211"/>
        <v>746.30518460709595</v>
      </c>
      <c r="R759" s="219">
        <f t="shared" si="212"/>
        <v>2.1301714285714413</v>
      </c>
      <c r="S759" s="219">
        <f t="shared" si="213"/>
        <v>14.979443902976309</v>
      </c>
      <c r="T759" s="219">
        <f t="shared" si="214"/>
        <v>60.789845137894403</v>
      </c>
      <c r="U759" s="219">
        <f t="shared" si="215"/>
        <v>0.26217774617209377</v>
      </c>
      <c r="V759" s="188">
        <f t="shared" si="216"/>
        <v>7549243148235506</v>
      </c>
      <c r="W759" s="323">
        <v>7.2800000000000004E-2</v>
      </c>
      <c r="X759" s="323">
        <v>6.4600000000000005E-2</v>
      </c>
      <c r="Y759" s="323">
        <v>3.8199999999999998E-2</v>
      </c>
      <c r="Z759" s="323">
        <v>1.24384197434516E-2</v>
      </c>
      <c r="AA759" s="323">
        <v>9.68</v>
      </c>
      <c r="AB759" s="323">
        <v>9.6300000000000008</v>
      </c>
      <c r="AC759" s="323">
        <v>10.08</v>
      </c>
      <c r="AD759" s="323">
        <v>2.8542900042867898</v>
      </c>
      <c r="AE759" s="323">
        <v>0.13</v>
      </c>
      <c r="AF759" s="323">
        <v>0.16</v>
      </c>
      <c r="AG759" s="323">
        <v>0.45</v>
      </c>
      <c r="AH759" s="323">
        <v>20.071472384132601</v>
      </c>
      <c r="AI759" s="323">
        <v>1.67</v>
      </c>
      <c r="AJ759" s="323">
        <v>1.9000000000000001</v>
      </c>
      <c r="AK759" s="323">
        <v>4.3100000000000005</v>
      </c>
      <c r="AL759" s="323">
        <v>81.454405505568303</v>
      </c>
      <c r="AM759" s="323">
        <v>0.34539999999999998</v>
      </c>
      <c r="AN759" s="323">
        <v>0.34920000000000001</v>
      </c>
      <c r="AO759" s="323">
        <v>0.25480000000000003</v>
      </c>
      <c r="AP759" s="323">
        <v>0.17849999999999999</v>
      </c>
      <c r="AQ759" s="323">
        <v>0.40931000000000001</v>
      </c>
      <c r="AR759" s="323">
        <v>0.41032000000000002</v>
      </c>
      <c r="AS759" s="323">
        <v>0.32907249999999999</v>
      </c>
      <c r="AT759" s="323">
        <v>0.35130098461009801</v>
      </c>
      <c r="AU759" s="190">
        <v>2272006054750486.5</v>
      </c>
      <c r="AV759" s="190">
        <v>2885108607941167</v>
      </c>
      <c r="AW759" s="190">
        <v>1.443936710534958E+16</v>
      </c>
      <c r="AX759" s="190">
        <v>1.0115490691934458E+16</v>
      </c>
      <c r="AY759" s="203">
        <v>0.3</v>
      </c>
      <c r="BB759" s="204">
        <v>37446</v>
      </c>
      <c r="BC759" s="203" t="s">
        <v>3227</v>
      </c>
    </row>
    <row r="760" spans="1:55" x14ac:dyDescent="0.2">
      <c r="A760" s="184" t="s">
        <v>2778</v>
      </c>
      <c r="B760" s="184" t="s">
        <v>2778</v>
      </c>
      <c r="C760" s="184" t="s">
        <v>2718</v>
      </c>
      <c r="D760" s="185" t="s">
        <v>2692</v>
      </c>
      <c r="E760" s="184" t="s">
        <v>2779</v>
      </c>
      <c r="F760" s="184" t="s">
        <v>2779</v>
      </c>
      <c r="G760" s="186">
        <f>IF(ALECA_Input!$F$13="ICAO (3000ft)",'Aircraft Calc'!C$216,'Aircraft Calc'!G$216)</f>
        <v>0.5</v>
      </c>
      <c r="H760" s="186">
        <f>IF(ALECA_Input!$F$13="ICAO (3000ft)",'Aircraft Calc'!D$216,'Aircraft Calc'!H$216)</f>
        <v>2.5</v>
      </c>
      <c r="I760" s="186">
        <f>IF(ALECA_Input!$F$13="ICAO (3000ft)",'Aircraft Calc'!E$216,'Aircraft Calc'!I$216)</f>
        <v>4.5</v>
      </c>
      <c r="J760" s="189">
        <v>1</v>
      </c>
      <c r="K760" s="187">
        <f t="shared" si="205"/>
        <v>22.187999999999999</v>
      </c>
      <c r="L760" s="187">
        <f t="shared" si="206"/>
        <v>0.21842094000000001</v>
      </c>
      <c r="M760" s="187">
        <f t="shared" si="207"/>
        <v>6.4756200000000005E-3</v>
      </c>
      <c r="N760" s="187">
        <f t="shared" si="208"/>
        <v>6.6511620000000007E-2</v>
      </c>
      <c r="O760" s="187">
        <f t="shared" si="209"/>
        <v>8.2639876050000002E-3</v>
      </c>
      <c r="P760" s="188">
        <f t="shared" si="210"/>
        <v>1.8184639595910054E+17</v>
      </c>
      <c r="Q760" s="187">
        <f t="shared" si="211"/>
        <v>746.30518460709595</v>
      </c>
      <c r="R760" s="219">
        <f t="shared" si="212"/>
        <v>2.1301714285714413</v>
      </c>
      <c r="S760" s="219">
        <f t="shared" si="213"/>
        <v>14.979443902976309</v>
      </c>
      <c r="T760" s="219">
        <f t="shared" si="214"/>
        <v>60.789845137894403</v>
      </c>
      <c r="U760" s="219">
        <f t="shared" si="215"/>
        <v>0.26217774617209377</v>
      </c>
      <c r="V760" s="188">
        <f t="shared" si="216"/>
        <v>7549243148235506</v>
      </c>
      <c r="W760" s="323">
        <v>7.2800000000000004E-2</v>
      </c>
      <c r="X760" s="323">
        <v>6.4600000000000005E-2</v>
      </c>
      <c r="Y760" s="323">
        <v>3.8199999999999998E-2</v>
      </c>
      <c r="Z760" s="323">
        <v>1.24384197434516E-2</v>
      </c>
      <c r="AA760" s="323">
        <v>9.68</v>
      </c>
      <c r="AB760" s="323">
        <v>9.6300000000000008</v>
      </c>
      <c r="AC760" s="323">
        <v>10.08</v>
      </c>
      <c r="AD760" s="323">
        <v>2.8542900042867898</v>
      </c>
      <c r="AE760" s="323">
        <v>0.13</v>
      </c>
      <c r="AF760" s="323">
        <v>0.16</v>
      </c>
      <c r="AG760" s="323">
        <v>0.45</v>
      </c>
      <c r="AH760" s="323">
        <v>20.071472384132601</v>
      </c>
      <c r="AI760" s="323">
        <v>1.67</v>
      </c>
      <c r="AJ760" s="323">
        <v>1.9000000000000001</v>
      </c>
      <c r="AK760" s="323">
        <v>4.3100000000000005</v>
      </c>
      <c r="AL760" s="323">
        <v>81.454405505568303</v>
      </c>
      <c r="AM760" s="323">
        <v>0.34539999999999998</v>
      </c>
      <c r="AN760" s="323">
        <v>0.34920000000000001</v>
      </c>
      <c r="AO760" s="323">
        <v>0.25480000000000003</v>
      </c>
      <c r="AP760" s="323">
        <v>0.17849999999999999</v>
      </c>
      <c r="AQ760" s="323">
        <v>0.40931000000000001</v>
      </c>
      <c r="AR760" s="323">
        <v>0.41032000000000002</v>
      </c>
      <c r="AS760" s="323">
        <v>0.32907249999999999</v>
      </c>
      <c r="AT760" s="323">
        <v>0.35130098461009801</v>
      </c>
      <c r="AU760" s="190">
        <v>2272006054750486.5</v>
      </c>
      <c r="AV760" s="190">
        <v>2885108607941167</v>
      </c>
      <c r="AW760" s="190">
        <v>1.443936710534958E+16</v>
      </c>
      <c r="AX760" s="190">
        <v>1.0115490691934458E+16</v>
      </c>
      <c r="AY760" s="203">
        <v>0.3</v>
      </c>
      <c r="BB760" s="204">
        <v>37446</v>
      </c>
      <c r="BC760" s="203" t="s">
        <v>3227</v>
      </c>
    </row>
    <row r="761" spans="1:55" x14ac:dyDescent="0.2">
      <c r="A761" s="184" t="s">
        <v>2780</v>
      </c>
      <c r="B761" s="184" t="s">
        <v>2780</v>
      </c>
      <c r="C761" s="184" t="s">
        <v>2718</v>
      </c>
      <c r="D761" s="185" t="s">
        <v>2692</v>
      </c>
      <c r="E761" s="184" t="s">
        <v>2781</v>
      </c>
      <c r="F761" s="184" t="s">
        <v>2781</v>
      </c>
      <c r="G761" s="186">
        <f>IF(ALECA_Input!$F$13="ICAO (3000ft)",'Aircraft Calc'!C$216,'Aircraft Calc'!G$216)</f>
        <v>0.5</v>
      </c>
      <c r="H761" s="186">
        <f>IF(ALECA_Input!$F$13="ICAO (3000ft)",'Aircraft Calc'!D$216,'Aircraft Calc'!H$216)</f>
        <v>2.5</v>
      </c>
      <c r="I761" s="186">
        <f>IF(ALECA_Input!$F$13="ICAO (3000ft)",'Aircraft Calc'!E$216,'Aircraft Calc'!I$216)</f>
        <v>4.5</v>
      </c>
      <c r="J761" s="189">
        <v>1</v>
      </c>
      <c r="K761" s="187">
        <f t="shared" si="205"/>
        <v>26.73</v>
      </c>
      <c r="L761" s="187">
        <f t="shared" si="206"/>
        <v>0.27103500000000003</v>
      </c>
      <c r="M761" s="187">
        <f t="shared" si="207"/>
        <v>3.8121000000000001E-3</v>
      </c>
      <c r="N761" s="187">
        <f t="shared" si="208"/>
        <v>8.3744999999999986E-2</v>
      </c>
      <c r="O761" s="187">
        <f t="shared" si="209"/>
        <v>1.021019055E-2</v>
      </c>
      <c r="P761" s="188">
        <f t="shared" si="210"/>
        <v>2.2711250109207213E+17</v>
      </c>
      <c r="Q761" s="187">
        <f t="shared" si="211"/>
        <v>981.98050606197012</v>
      </c>
      <c r="R761" s="219">
        <f t="shared" si="212"/>
        <v>3.2142857142857326</v>
      </c>
      <c r="S761" s="219">
        <f t="shared" si="213"/>
        <v>7.8651509751742195</v>
      </c>
      <c r="T761" s="219">
        <f t="shared" si="214"/>
        <v>64.034269825227227</v>
      </c>
      <c r="U761" s="219">
        <f t="shared" si="215"/>
        <v>0.27483520894386659</v>
      </c>
      <c r="V761" s="188">
        <f t="shared" si="216"/>
        <v>1.0100159453079366E+16</v>
      </c>
      <c r="W761" s="323">
        <v>9.0999999999999998E-2</v>
      </c>
      <c r="X761" s="323">
        <v>7.9000000000000001E-2</v>
      </c>
      <c r="Y761" s="323">
        <v>4.4999999999999998E-2</v>
      </c>
      <c r="Z761" s="323">
        <v>1.6366341767699501E-2</v>
      </c>
      <c r="AA761" s="323">
        <v>11.5</v>
      </c>
      <c r="AB761" s="323">
        <v>11.200000000000001</v>
      </c>
      <c r="AC761" s="323">
        <v>8.8000000000000007</v>
      </c>
      <c r="AD761" s="323">
        <v>3.2732683535398901</v>
      </c>
      <c r="AE761" s="323">
        <v>7.0000000000000007E-2</v>
      </c>
      <c r="AF761" s="323">
        <v>0.08</v>
      </c>
      <c r="AG761" s="323">
        <v>0.22</v>
      </c>
      <c r="AH761" s="323">
        <v>8.0094777102203203</v>
      </c>
      <c r="AI761" s="323">
        <v>1.5</v>
      </c>
      <c r="AJ761" s="323">
        <v>1.8</v>
      </c>
      <c r="AK761" s="323">
        <v>4.8</v>
      </c>
      <c r="AL761" s="323">
        <v>65.209308565628703</v>
      </c>
      <c r="AM761" s="323">
        <v>0.36630000000000001</v>
      </c>
      <c r="AN761" s="323">
        <v>0.372</v>
      </c>
      <c r="AO761" s="323">
        <v>0.26740000000000003</v>
      </c>
      <c r="AP761" s="323">
        <v>0.18149999999999999</v>
      </c>
      <c r="AQ761" s="323">
        <v>0.42331000000000002</v>
      </c>
      <c r="AR761" s="323">
        <v>0.42703999999999998</v>
      </c>
      <c r="AS761" s="323">
        <v>0.328735</v>
      </c>
      <c r="AT761" s="323">
        <v>0.27987847747205941</v>
      </c>
      <c r="AU761" s="190">
        <v>2409484128127109</v>
      </c>
      <c r="AV761" s="190">
        <v>3073483396775813.5</v>
      </c>
      <c r="AW761" s="190">
        <v>1.5153401742427306E+16</v>
      </c>
      <c r="AX761" s="190">
        <v>1.0285498938857726E+16</v>
      </c>
      <c r="AY761" s="203">
        <v>0.3</v>
      </c>
      <c r="BB761" s="204">
        <v>37446</v>
      </c>
      <c r="BC761" s="203" t="s">
        <v>3227</v>
      </c>
    </row>
    <row r="762" spans="1:55" x14ac:dyDescent="0.2">
      <c r="A762" s="184" t="s">
        <v>2782</v>
      </c>
      <c r="B762" s="184" t="s">
        <v>2782</v>
      </c>
      <c r="C762" s="184" t="s">
        <v>2718</v>
      </c>
      <c r="D762" s="185" t="s">
        <v>2692</v>
      </c>
      <c r="E762" s="184" t="s">
        <v>224</v>
      </c>
      <c r="F762" s="184" t="s">
        <v>224</v>
      </c>
      <c r="G762" s="186">
        <f>IF(ALECA_Input!$F$13="ICAO (3000ft)",'Aircraft Calc'!C$216,'Aircraft Calc'!G$216)</f>
        <v>0.5</v>
      </c>
      <c r="H762" s="186">
        <f>IF(ALECA_Input!$F$13="ICAO (3000ft)",'Aircraft Calc'!D$216,'Aircraft Calc'!H$216)</f>
        <v>2.5</v>
      </c>
      <c r="I762" s="186">
        <f>IF(ALECA_Input!$F$13="ICAO (3000ft)",'Aircraft Calc'!E$216,'Aircraft Calc'!I$216)</f>
        <v>4.5</v>
      </c>
      <c r="J762" s="189">
        <v>1</v>
      </c>
      <c r="K762" s="187">
        <f t="shared" si="205"/>
        <v>26.73</v>
      </c>
      <c r="L762" s="187">
        <f t="shared" si="206"/>
        <v>0.27103500000000003</v>
      </c>
      <c r="M762" s="187">
        <f t="shared" si="207"/>
        <v>3.8121000000000001E-3</v>
      </c>
      <c r="N762" s="187">
        <f t="shared" si="208"/>
        <v>8.3744999999999986E-2</v>
      </c>
      <c r="O762" s="187">
        <f t="shared" si="209"/>
        <v>1.1287124550000001E-2</v>
      </c>
      <c r="P762" s="188">
        <f t="shared" si="210"/>
        <v>2.5557982249086534E+17</v>
      </c>
      <c r="Q762" s="187">
        <f t="shared" si="211"/>
        <v>981.98050606197012</v>
      </c>
      <c r="R762" s="219">
        <f t="shared" si="212"/>
        <v>3.2142857142857326</v>
      </c>
      <c r="S762" s="219">
        <f t="shared" si="213"/>
        <v>7.8651509751742195</v>
      </c>
      <c r="T762" s="219">
        <f t="shared" si="214"/>
        <v>64.034269825227227</v>
      </c>
      <c r="U762" s="219">
        <f t="shared" si="215"/>
        <v>0.28220006273933135</v>
      </c>
      <c r="V762" s="188">
        <f t="shared" si="216"/>
        <v>1.0517521413950414E+16</v>
      </c>
      <c r="W762" s="323">
        <v>9.0999999999999998E-2</v>
      </c>
      <c r="X762" s="323">
        <v>7.9000000000000001E-2</v>
      </c>
      <c r="Y762" s="323">
        <v>4.4999999999999998E-2</v>
      </c>
      <c r="Z762" s="323">
        <v>1.6366341767699501E-2</v>
      </c>
      <c r="AA762" s="323">
        <v>11.5</v>
      </c>
      <c r="AB762" s="323">
        <v>11.200000000000001</v>
      </c>
      <c r="AC762" s="323">
        <v>8.8000000000000007</v>
      </c>
      <c r="AD762" s="323">
        <v>3.2732683535398901</v>
      </c>
      <c r="AE762" s="323">
        <v>7.0000000000000007E-2</v>
      </c>
      <c r="AF762" s="323">
        <v>0.08</v>
      </c>
      <c r="AG762" s="323">
        <v>0.22</v>
      </c>
      <c r="AH762" s="323">
        <v>8.0094777102203203</v>
      </c>
      <c r="AI762" s="323">
        <v>1.5</v>
      </c>
      <c r="AJ762" s="323">
        <v>1.8</v>
      </c>
      <c r="AK762" s="323">
        <v>4.8</v>
      </c>
      <c r="AL762" s="323">
        <v>65.209308565628703</v>
      </c>
      <c r="AM762" s="323">
        <v>0.40810000000000002</v>
      </c>
      <c r="AN762" s="323">
        <v>0.41880000000000001</v>
      </c>
      <c r="AO762" s="323">
        <v>0.30099999999999999</v>
      </c>
      <c r="AP762" s="323">
        <v>0.189</v>
      </c>
      <c r="AQ762" s="323">
        <v>0.46511000000000002</v>
      </c>
      <c r="AR762" s="323">
        <v>0.47383999999999998</v>
      </c>
      <c r="AS762" s="323">
        <v>0.36233500000000002</v>
      </c>
      <c r="AT762" s="323">
        <v>0.28737847747205941</v>
      </c>
      <c r="AU762" s="190">
        <v>2684440274880352.5</v>
      </c>
      <c r="AV762" s="190">
        <v>3460147437015351.5</v>
      </c>
      <c r="AW762" s="190">
        <v>1.705749410796791E+16</v>
      </c>
      <c r="AX762" s="190">
        <v>1.0710519556165896E+16</v>
      </c>
      <c r="AY762" s="203">
        <v>0.3</v>
      </c>
      <c r="BB762" s="204">
        <v>37446</v>
      </c>
      <c r="BC762" s="203" t="s">
        <v>3227</v>
      </c>
    </row>
    <row r="763" spans="1:55" x14ac:dyDescent="0.2">
      <c r="A763" s="184" t="s">
        <v>2783</v>
      </c>
      <c r="B763" s="184" t="s">
        <v>2783</v>
      </c>
      <c r="C763" s="184" t="s">
        <v>2718</v>
      </c>
      <c r="D763" s="185" t="s">
        <v>2692</v>
      </c>
      <c r="E763" s="184" t="s">
        <v>2784</v>
      </c>
      <c r="F763" s="184" t="s">
        <v>2784</v>
      </c>
      <c r="G763" s="186">
        <f>IF(ALECA_Input!$F$13="ICAO (3000ft)",'Aircraft Calc'!C$216,'Aircraft Calc'!G$216)</f>
        <v>0.5</v>
      </c>
      <c r="H763" s="186">
        <f>IF(ALECA_Input!$F$13="ICAO (3000ft)",'Aircraft Calc'!D$216,'Aircraft Calc'!H$216)</f>
        <v>2.5</v>
      </c>
      <c r="I763" s="186">
        <f>IF(ALECA_Input!$F$13="ICAO (3000ft)",'Aircraft Calc'!E$216,'Aircraft Calc'!I$216)</f>
        <v>4.5</v>
      </c>
      <c r="J763" s="189">
        <v>1</v>
      </c>
      <c r="K763" s="187">
        <f t="shared" si="205"/>
        <v>26.73</v>
      </c>
      <c r="L763" s="187">
        <f t="shared" si="206"/>
        <v>0.27103500000000003</v>
      </c>
      <c r="M763" s="187">
        <f t="shared" si="207"/>
        <v>3.8121000000000001E-3</v>
      </c>
      <c r="N763" s="187">
        <f t="shared" si="208"/>
        <v>8.3744999999999986E-2</v>
      </c>
      <c r="O763" s="187">
        <f t="shared" si="209"/>
        <v>1.1252891550000001E-2</v>
      </c>
      <c r="P763" s="188">
        <f t="shared" si="210"/>
        <v>2.544786359209152E+17</v>
      </c>
      <c r="Q763" s="187">
        <f t="shared" si="211"/>
        <v>981.98050606197012</v>
      </c>
      <c r="R763" s="219">
        <f t="shared" si="212"/>
        <v>3.2142857142857326</v>
      </c>
      <c r="S763" s="219">
        <f t="shared" si="213"/>
        <v>7.8651509751742195</v>
      </c>
      <c r="T763" s="219">
        <f t="shared" si="214"/>
        <v>64.034269825227227</v>
      </c>
      <c r="U763" s="219">
        <f t="shared" si="215"/>
        <v>0.28220006273933135</v>
      </c>
      <c r="V763" s="188">
        <f t="shared" si="216"/>
        <v>1.0517521413950414E+16</v>
      </c>
      <c r="W763" s="323">
        <v>9.0999999999999998E-2</v>
      </c>
      <c r="X763" s="323">
        <v>7.9000000000000001E-2</v>
      </c>
      <c r="Y763" s="323">
        <v>4.4999999999999998E-2</v>
      </c>
      <c r="Z763" s="323">
        <v>1.6366341767699501E-2</v>
      </c>
      <c r="AA763" s="323">
        <v>11.5</v>
      </c>
      <c r="AB763" s="323">
        <v>11.200000000000001</v>
      </c>
      <c r="AC763" s="323">
        <v>8.8000000000000007</v>
      </c>
      <c r="AD763" s="323">
        <v>3.2732683535398901</v>
      </c>
      <c r="AE763" s="323">
        <v>7.0000000000000007E-2</v>
      </c>
      <c r="AF763" s="323">
        <v>0.08</v>
      </c>
      <c r="AG763" s="323">
        <v>0.22</v>
      </c>
      <c r="AH763" s="323">
        <v>8.0094777102203203</v>
      </c>
      <c r="AI763" s="323">
        <v>1.5</v>
      </c>
      <c r="AJ763" s="323">
        <v>1.8</v>
      </c>
      <c r="AK763" s="323">
        <v>4.8</v>
      </c>
      <c r="AL763" s="323">
        <v>65.209308565628703</v>
      </c>
      <c r="AM763" s="323">
        <v>0.40699999999999997</v>
      </c>
      <c r="AN763" s="323">
        <v>0.41760000000000003</v>
      </c>
      <c r="AO763" s="323">
        <v>0.29959999999999998</v>
      </c>
      <c r="AP763" s="323">
        <v>0.189</v>
      </c>
      <c r="AQ763" s="323">
        <v>0.46400999999999998</v>
      </c>
      <c r="AR763" s="323">
        <v>0.47264</v>
      </c>
      <c r="AS763" s="323">
        <v>0.36093500000000001</v>
      </c>
      <c r="AT763" s="323">
        <v>0.28737847747205941</v>
      </c>
      <c r="AU763" s="190">
        <v>2677204586807898.5</v>
      </c>
      <c r="AV763" s="190">
        <v>3450232974445107</v>
      </c>
      <c r="AW763" s="190">
        <v>1.6978156926070384E+16</v>
      </c>
      <c r="AX763" s="190">
        <v>1.0710519556165896E+16</v>
      </c>
      <c r="AY763" s="203">
        <v>0.3</v>
      </c>
      <c r="BB763" s="204">
        <v>37446</v>
      </c>
      <c r="BC763" s="203" t="s">
        <v>3227</v>
      </c>
    </row>
    <row r="764" spans="1:55" x14ac:dyDescent="0.2">
      <c r="A764" s="184" t="s">
        <v>2785</v>
      </c>
      <c r="B764" s="184" t="s">
        <v>2785</v>
      </c>
      <c r="C764" s="184" t="s">
        <v>2718</v>
      </c>
      <c r="D764" s="185" t="s">
        <v>2692</v>
      </c>
      <c r="E764" s="184" t="s">
        <v>2786</v>
      </c>
      <c r="F764" s="184" t="s">
        <v>2786</v>
      </c>
      <c r="G764" s="186">
        <f>IF(ALECA_Input!$F$13="ICAO (3000ft)",'Aircraft Calc'!C$216,'Aircraft Calc'!G$216)</f>
        <v>0.5</v>
      </c>
      <c r="H764" s="186">
        <f>IF(ALECA_Input!$F$13="ICAO (3000ft)",'Aircraft Calc'!D$216,'Aircraft Calc'!H$216)</f>
        <v>2.5</v>
      </c>
      <c r="I764" s="186">
        <f>IF(ALECA_Input!$F$13="ICAO (3000ft)",'Aircraft Calc'!E$216,'Aircraft Calc'!I$216)</f>
        <v>4.5</v>
      </c>
      <c r="J764" s="189">
        <v>1</v>
      </c>
      <c r="K764" s="187">
        <f t="shared" si="205"/>
        <v>11.313000000000001</v>
      </c>
      <c r="L764" s="187">
        <f t="shared" si="206"/>
        <v>0.10236942</v>
      </c>
      <c r="M764" s="187">
        <f t="shared" si="207"/>
        <v>1.09728E-2</v>
      </c>
      <c r="N764" s="187">
        <f t="shared" si="208"/>
        <v>7.0652519999999996E-2</v>
      </c>
      <c r="O764" s="187">
        <f t="shared" si="209"/>
        <v>4.0889080800000002E-3</v>
      </c>
      <c r="P764" s="188">
        <f t="shared" si="210"/>
        <v>5.885489909773304E+16</v>
      </c>
      <c r="Q764" s="187">
        <f t="shared" si="211"/>
        <v>196.3961012123934</v>
      </c>
      <c r="R764" s="219">
        <f t="shared" si="212"/>
        <v>0.29828571428571526</v>
      </c>
      <c r="S764" s="219">
        <f t="shared" si="213"/>
        <v>58.795683698152658</v>
      </c>
      <c r="T764" s="219">
        <f t="shared" si="214"/>
        <v>31.283465481532666</v>
      </c>
      <c r="U764" s="219">
        <f t="shared" si="215"/>
        <v>0.40596865484027994</v>
      </c>
      <c r="V764" s="188">
        <f t="shared" si="216"/>
        <v>1903170541571973.8</v>
      </c>
      <c r="W764" s="323">
        <v>4.6800000000000001E-2</v>
      </c>
      <c r="X764" s="323">
        <v>4.3200000000000002E-2</v>
      </c>
      <c r="Y764" s="323">
        <v>1.2699999999999999E-2</v>
      </c>
      <c r="Z764" s="323">
        <v>3.2732683535398898E-3</v>
      </c>
      <c r="AA764" s="323">
        <v>9.58</v>
      </c>
      <c r="AB764" s="323">
        <v>9.33</v>
      </c>
      <c r="AC764" s="323">
        <v>8.3000000000000007</v>
      </c>
      <c r="AD764" s="323">
        <v>1.5187965160425101</v>
      </c>
      <c r="AE764" s="323">
        <v>0.16</v>
      </c>
      <c r="AF764" s="323">
        <v>0.05</v>
      </c>
      <c r="AG764" s="323">
        <v>3.04</v>
      </c>
      <c r="AH764" s="323">
        <v>299.37296787051702</v>
      </c>
      <c r="AI764" s="323">
        <v>1.1300000000000001</v>
      </c>
      <c r="AJ764" s="323">
        <v>1.98</v>
      </c>
      <c r="AK764" s="323">
        <v>16.399999999999999</v>
      </c>
      <c r="AL764" s="323">
        <v>159.28760952184601</v>
      </c>
      <c r="AM764" s="323">
        <v>0.27279999999999999</v>
      </c>
      <c r="AN764" s="323">
        <v>0.27479999999999999</v>
      </c>
      <c r="AO764" s="323">
        <v>0.2142</v>
      </c>
      <c r="AP764" s="323">
        <v>0.17100000000000001</v>
      </c>
      <c r="AQ764" s="323">
        <v>0.34016000000000002</v>
      </c>
      <c r="AR764" s="323">
        <v>0.32756000000000002</v>
      </c>
      <c r="AS764" s="323">
        <v>0.43415999999999999</v>
      </c>
      <c r="AT764" s="323">
        <v>2.06709121176109</v>
      </c>
      <c r="AU764" s="190">
        <v>1794450641968537.3</v>
      </c>
      <c r="AV764" s="190">
        <v>2270411928586004</v>
      </c>
      <c r="AW764" s="190">
        <v>1.213858883032135E+16</v>
      </c>
      <c r="AX764" s="190">
        <v>9690470074626288</v>
      </c>
      <c r="AY764" s="203">
        <v>0.1</v>
      </c>
      <c r="BB764" s="204">
        <v>37446</v>
      </c>
      <c r="BC764" s="203" t="s">
        <v>3227</v>
      </c>
    </row>
    <row r="765" spans="1:55" x14ac:dyDescent="0.2">
      <c r="A765" s="184" t="s">
        <v>2787</v>
      </c>
      <c r="B765" s="184" t="s">
        <v>2787</v>
      </c>
      <c r="C765" s="184" t="s">
        <v>2718</v>
      </c>
      <c r="D765" s="185" t="s">
        <v>2692</v>
      </c>
      <c r="E765" s="184" t="s">
        <v>2788</v>
      </c>
      <c r="F765" s="184" t="s">
        <v>2788</v>
      </c>
      <c r="G765" s="186">
        <f>IF(ALECA_Input!$F$13="ICAO (3000ft)",'Aircraft Calc'!C$216,'Aircraft Calc'!G$216)</f>
        <v>0.5</v>
      </c>
      <c r="H765" s="186">
        <f>IF(ALECA_Input!$F$13="ICAO (3000ft)",'Aircraft Calc'!D$216,'Aircraft Calc'!H$216)</f>
        <v>2.5</v>
      </c>
      <c r="I765" s="186">
        <f>IF(ALECA_Input!$F$13="ICAO (3000ft)",'Aircraft Calc'!E$216,'Aircraft Calc'!I$216)</f>
        <v>4.5</v>
      </c>
      <c r="J765" s="189">
        <v>1</v>
      </c>
      <c r="K765" s="187">
        <f t="shared" si="205"/>
        <v>16.029</v>
      </c>
      <c r="L765" s="187">
        <f t="shared" si="206"/>
        <v>0.14096733</v>
      </c>
      <c r="M765" s="187">
        <f t="shared" si="207"/>
        <v>2.3523269999999999E-2</v>
      </c>
      <c r="N765" s="187">
        <f t="shared" si="208"/>
        <v>0.12650109000000001</v>
      </c>
      <c r="O765" s="187">
        <f t="shared" si="209"/>
        <v>6.2386586399999994E-3</v>
      </c>
      <c r="P765" s="188">
        <f t="shared" si="210"/>
        <v>1.1190121734528454E+17</v>
      </c>
      <c r="Q765" s="187">
        <f t="shared" si="211"/>
        <v>510.62986315222315</v>
      </c>
      <c r="R765" s="219">
        <f t="shared" si="212"/>
        <v>0.78891428571428923</v>
      </c>
      <c r="S765" s="219">
        <f t="shared" si="213"/>
        <v>154.39562215075446</v>
      </c>
      <c r="T765" s="219">
        <f t="shared" si="214"/>
        <v>80.733840767075563</v>
      </c>
      <c r="U765" s="219">
        <f t="shared" si="215"/>
        <v>1.0649391333691178</v>
      </c>
      <c r="V765" s="188">
        <f t="shared" si="216"/>
        <v>4948243408087135</v>
      </c>
      <c r="W765" s="323">
        <v>5.0500000000000003E-2</v>
      </c>
      <c r="X765" s="323">
        <v>4.6899999999999997E-2</v>
      </c>
      <c r="Y765" s="323">
        <v>2.7699999999999999E-2</v>
      </c>
      <c r="Z765" s="323">
        <v>8.5104977192037197E-3</v>
      </c>
      <c r="AA765" s="323">
        <v>9.65</v>
      </c>
      <c r="AB765" s="323">
        <v>9.5400000000000009</v>
      </c>
      <c r="AC765" s="323">
        <v>7.92</v>
      </c>
      <c r="AD765" s="323">
        <v>1.5449826628708301</v>
      </c>
      <c r="AE765" s="323">
        <v>0.52</v>
      </c>
      <c r="AF765" s="323">
        <v>0.17</v>
      </c>
      <c r="AG765" s="323">
        <v>2.88</v>
      </c>
      <c r="AH765" s="323">
        <v>302.36308781009899</v>
      </c>
      <c r="AI765" s="323">
        <v>1.34</v>
      </c>
      <c r="AJ765" s="323">
        <v>1.47</v>
      </c>
      <c r="AK765" s="323">
        <v>15.26</v>
      </c>
      <c r="AL765" s="323">
        <v>158.10638310240799</v>
      </c>
      <c r="AM765" s="323">
        <v>0.28160000000000002</v>
      </c>
      <c r="AN765" s="323">
        <v>0.28439999999999999</v>
      </c>
      <c r="AO765" s="323">
        <v>0.21840000000000001</v>
      </c>
      <c r="AP765" s="323">
        <v>0.17100000000000001</v>
      </c>
      <c r="AQ765" s="323">
        <v>0.39035999999999998</v>
      </c>
      <c r="AR765" s="323">
        <v>0.34627999999999998</v>
      </c>
      <c r="AS765" s="323">
        <v>0.42936000000000002</v>
      </c>
      <c r="AT765" s="323">
        <v>2.0855402517883102</v>
      </c>
      <c r="AU765" s="190">
        <v>1852336146548167.5</v>
      </c>
      <c r="AV765" s="190">
        <v>2349727629147961</v>
      </c>
      <c r="AW765" s="190">
        <v>1.2376600376013926E+16</v>
      </c>
      <c r="AX765" s="190">
        <v>9690470074626288</v>
      </c>
      <c r="AY765" s="203">
        <v>0.2</v>
      </c>
      <c r="BB765" s="204">
        <v>37446</v>
      </c>
      <c r="BC765" s="203" t="s">
        <v>3227</v>
      </c>
    </row>
    <row r="766" spans="1:55" x14ac:dyDescent="0.2">
      <c r="A766" s="184" t="s">
        <v>2789</v>
      </c>
      <c r="B766" s="184" t="s">
        <v>2789</v>
      </c>
      <c r="C766" s="184" t="s">
        <v>2718</v>
      </c>
      <c r="D766" s="185" t="s">
        <v>2692</v>
      </c>
      <c r="E766" s="184" t="s">
        <v>2790</v>
      </c>
      <c r="F766" s="184" t="s">
        <v>2790</v>
      </c>
      <c r="G766" s="186">
        <f>IF(ALECA_Input!$F$13="ICAO (3000ft)",'Aircraft Calc'!C$216,'Aircraft Calc'!G$216)</f>
        <v>0.5</v>
      </c>
      <c r="H766" s="186">
        <f>IF(ALECA_Input!$F$13="ICAO (3000ft)",'Aircraft Calc'!D$216,'Aircraft Calc'!H$216)</f>
        <v>2.5</v>
      </c>
      <c r="I766" s="186">
        <f>IF(ALECA_Input!$F$13="ICAO (3000ft)",'Aircraft Calc'!E$216,'Aircraft Calc'!I$216)</f>
        <v>4.5</v>
      </c>
      <c r="J766" s="189">
        <v>1</v>
      </c>
      <c r="K766" s="187">
        <f t="shared" si="205"/>
        <v>18.429000000000002</v>
      </c>
      <c r="L766" s="187">
        <f t="shared" si="206"/>
        <v>0.20646585000000001</v>
      </c>
      <c r="M766" s="187">
        <f t="shared" si="207"/>
        <v>1.0053090000000001E-2</v>
      </c>
      <c r="N766" s="187">
        <f t="shared" si="208"/>
        <v>6.5325209999999995E-2</v>
      </c>
      <c r="O766" s="187">
        <f t="shared" si="209"/>
        <v>6.6080693775000003E-3</v>
      </c>
      <c r="P766" s="188">
        <f t="shared" si="210"/>
        <v>1.3710735005173651E+17</v>
      </c>
      <c r="Q766" s="187">
        <f t="shared" si="211"/>
        <v>561.69284946744551</v>
      </c>
      <c r="R766" s="219">
        <f t="shared" si="212"/>
        <v>0.9854742857142883</v>
      </c>
      <c r="S766" s="219">
        <f t="shared" si="213"/>
        <v>135.58209571992481</v>
      </c>
      <c r="T766" s="219">
        <f t="shared" si="214"/>
        <v>101.00647680424422</v>
      </c>
      <c r="U766" s="219">
        <f t="shared" si="215"/>
        <v>0.96177656830919789</v>
      </c>
      <c r="V766" s="188">
        <f t="shared" si="216"/>
        <v>5538560165543144</v>
      </c>
      <c r="W766" s="323">
        <v>5.8999999999999997E-2</v>
      </c>
      <c r="X766" s="323">
        <v>5.3999999999999999E-2</v>
      </c>
      <c r="Y766" s="323">
        <v>3.1699999999999999E-2</v>
      </c>
      <c r="Z766" s="323">
        <v>9.3615474911240906E-3</v>
      </c>
      <c r="AA766" s="323">
        <v>12.030000000000001</v>
      </c>
      <c r="AB766" s="323">
        <v>12.030000000000001</v>
      </c>
      <c r="AC766" s="323">
        <v>10.25</v>
      </c>
      <c r="AD766" s="323">
        <v>1.75447183749738</v>
      </c>
      <c r="AE766" s="323">
        <v>0.39</v>
      </c>
      <c r="AF766" s="323">
        <v>0.3</v>
      </c>
      <c r="AG766" s="323">
        <v>0.81</v>
      </c>
      <c r="AH766" s="323">
        <v>241.38120299817501</v>
      </c>
      <c r="AI766" s="323">
        <v>0.85</v>
      </c>
      <c r="AJ766" s="323">
        <v>0.81</v>
      </c>
      <c r="AK766" s="323">
        <v>6.69</v>
      </c>
      <c r="AL766" s="323">
        <v>179.82510708479001</v>
      </c>
      <c r="AM766" s="323">
        <v>0.308</v>
      </c>
      <c r="AN766" s="323">
        <v>0.31080000000000002</v>
      </c>
      <c r="AO766" s="323">
        <v>0.2324</v>
      </c>
      <c r="AP766" s="323">
        <v>0.17399999999999999</v>
      </c>
      <c r="AQ766" s="323">
        <v>0.40181</v>
      </c>
      <c r="AR766" s="323">
        <v>0.38256000000000001</v>
      </c>
      <c r="AS766" s="323">
        <v>0.3269225</v>
      </c>
      <c r="AT766" s="323">
        <v>1.7122820224987401</v>
      </c>
      <c r="AU766" s="190">
        <v>2025992660287058.3</v>
      </c>
      <c r="AV766" s="190">
        <v>2567845805693341</v>
      </c>
      <c r="AW766" s="190">
        <v>1.3169972194989176E+16</v>
      </c>
      <c r="AX766" s="190">
        <v>9860478321549556</v>
      </c>
      <c r="AY766" s="203">
        <v>0.2</v>
      </c>
      <c r="BB766" s="204">
        <v>37446</v>
      </c>
      <c r="BC766" s="203" t="s">
        <v>3227</v>
      </c>
    </row>
    <row r="767" spans="1:55" x14ac:dyDescent="0.2">
      <c r="A767" s="184" t="s">
        <v>2791</v>
      </c>
      <c r="B767" s="184" t="s">
        <v>2791</v>
      </c>
      <c r="C767" s="184" t="s">
        <v>2718</v>
      </c>
      <c r="D767" s="185" t="s">
        <v>2692</v>
      </c>
      <c r="E767" s="184" t="s">
        <v>2792</v>
      </c>
      <c r="F767" s="184" t="s">
        <v>2792</v>
      </c>
      <c r="G767" s="186">
        <f>IF(ALECA_Input!$F$13="ICAO (3000ft)",'Aircraft Calc'!C$216,'Aircraft Calc'!G$216)</f>
        <v>0.5</v>
      </c>
      <c r="H767" s="186">
        <f>IF(ALECA_Input!$F$13="ICAO (3000ft)",'Aircraft Calc'!D$216,'Aircraft Calc'!H$216)</f>
        <v>2.5</v>
      </c>
      <c r="I767" s="186">
        <f>IF(ALECA_Input!$F$13="ICAO (3000ft)",'Aircraft Calc'!E$216,'Aircraft Calc'!I$216)</f>
        <v>4.5</v>
      </c>
      <c r="J767" s="189">
        <v>1</v>
      </c>
      <c r="K767" s="187">
        <f t="shared" si="205"/>
        <v>18.429000000000002</v>
      </c>
      <c r="L767" s="187">
        <f t="shared" si="206"/>
        <v>0.20646585000000001</v>
      </c>
      <c r="M767" s="187">
        <f t="shared" si="207"/>
        <v>1.0053090000000001E-2</v>
      </c>
      <c r="N767" s="187">
        <f t="shared" si="208"/>
        <v>6.5325209999999995E-2</v>
      </c>
      <c r="O767" s="187">
        <f t="shared" si="209"/>
        <v>6.6080693775000003E-3</v>
      </c>
      <c r="P767" s="188">
        <f t="shared" si="210"/>
        <v>1.3710735005173651E+17</v>
      </c>
      <c r="Q767" s="187">
        <f t="shared" si="211"/>
        <v>561.69284946744551</v>
      </c>
      <c r="R767" s="219">
        <f t="shared" si="212"/>
        <v>0.9854742857142883</v>
      </c>
      <c r="S767" s="219">
        <f t="shared" si="213"/>
        <v>135.58209571992481</v>
      </c>
      <c r="T767" s="219">
        <f t="shared" si="214"/>
        <v>101.00647680424422</v>
      </c>
      <c r="U767" s="219">
        <f t="shared" si="215"/>
        <v>0.96177656830919789</v>
      </c>
      <c r="V767" s="188">
        <f t="shared" si="216"/>
        <v>5538560165543144</v>
      </c>
      <c r="W767" s="323">
        <v>5.8999999999999997E-2</v>
      </c>
      <c r="X767" s="323">
        <v>5.3999999999999999E-2</v>
      </c>
      <c r="Y767" s="323">
        <v>3.1699999999999999E-2</v>
      </c>
      <c r="Z767" s="323">
        <v>9.3615474911240906E-3</v>
      </c>
      <c r="AA767" s="323">
        <v>12.030000000000001</v>
      </c>
      <c r="AB767" s="323">
        <v>12.030000000000001</v>
      </c>
      <c r="AC767" s="323">
        <v>10.25</v>
      </c>
      <c r="AD767" s="323">
        <v>1.75447183749738</v>
      </c>
      <c r="AE767" s="323">
        <v>0.39</v>
      </c>
      <c r="AF767" s="323">
        <v>0.3</v>
      </c>
      <c r="AG767" s="323">
        <v>0.81</v>
      </c>
      <c r="AH767" s="323">
        <v>241.38120299817501</v>
      </c>
      <c r="AI767" s="323">
        <v>0.85</v>
      </c>
      <c r="AJ767" s="323">
        <v>0.81</v>
      </c>
      <c r="AK767" s="323">
        <v>6.69</v>
      </c>
      <c r="AL767" s="323">
        <v>179.82510708479001</v>
      </c>
      <c r="AM767" s="323">
        <v>0.308</v>
      </c>
      <c r="AN767" s="323">
        <v>0.31080000000000002</v>
      </c>
      <c r="AO767" s="323">
        <v>0.2324</v>
      </c>
      <c r="AP767" s="323">
        <v>0.17399999999999999</v>
      </c>
      <c r="AQ767" s="323">
        <v>0.40181</v>
      </c>
      <c r="AR767" s="323">
        <v>0.38256000000000001</v>
      </c>
      <c r="AS767" s="323">
        <v>0.3269225</v>
      </c>
      <c r="AT767" s="323">
        <v>1.7122820224987401</v>
      </c>
      <c r="AU767" s="190">
        <v>2025992660287058.3</v>
      </c>
      <c r="AV767" s="190">
        <v>2567845805693341</v>
      </c>
      <c r="AW767" s="190">
        <v>1.3169972194989176E+16</v>
      </c>
      <c r="AX767" s="190">
        <v>9860478321549556</v>
      </c>
      <c r="AY767" s="203">
        <v>0.2</v>
      </c>
      <c r="BB767" s="204">
        <v>37446</v>
      </c>
      <c r="BC767" s="203" t="s">
        <v>3227</v>
      </c>
    </row>
    <row r="768" spans="1:55" x14ac:dyDescent="0.2">
      <c r="A768" s="184" t="s">
        <v>2793</v>
      </c>
      <c r="B768" s="184" t="s">
        <v>2793</v>
      </c>
      <c r="C768" s="184" t="s">
        <v>2718</v>
      </c>
      <c r="D768" s="185" t="s">
        <v>2692</v>
      </c>
      <c r="E768" s="184" t="s">
        <v>2794</v>
      </c>
      <c r="F768" s="184" t="s">
        <v>2794</v>
      </c>
      <c r="G768" s="186">
        <f>IF(ALECA_Input!$F$13="ICAO (3000ft)",'Aircraft Calc'!C$216,'Aircraft Calc'!G$216)</f>
        <v>0.5</v>
      </c>
      <c r="H768" s="186">
        <f>IF(ALECA_Input!$F$13="ICAO (3000ft)",'Aircraft Calc'!D$216,'Aircraft Calc'!H$216)</f>
        <v>2.5</v>
      </c>
      <c r="I768" s="186">
        <f>IF(ALECA_Input!$F$13="ICAO (3000ft)",'Aircraft Calc'!E$216,'Aircraft Calc'!I$216)</f>
        <v>4.5</v>
      </c>
      <c r="J768" s="189">
        <v>1</v>
      </c>
      <c r="K768" s="187">
        <f t="shared" si="205"/>
        <v>17.048999999999999</v>
      </c>
      <c r="L768" s="187">
        <f t="shared" si="206"/>
        <v>0.19006646999999999</v>
      </c>
      <c r="M768" s="187">
        <f t="shared" si="207"/>
        <v>8.4884699999999997E-3</v>
      </c>
      <c r="N768" s="187">
        <f t="shared" si="208"/>
        <v>7.4270610000000001E-2</v>
      </c>
      <c r="O768" s="187">
        <f t="shared" si="209"/>
        <v>5.83432554E-3</v>
      </c>
      <c r="P768" s="188">
        <f t="shared" si="210"/>
        <v>1.2594816074351638E+17</v>
      </c>
      <c r="Q768" s="187">
        <f t="shared" si="211"/>
        <v>569.54869351594141</v>
      </c>
      <c r="R768" s="219">
        <f t="shared" si="212"/>
        <v>1.1558571428571458</v>
      </c>
      <c r="S768" s="219">
        <f t="shared" si="213"/>
        <v>160.93254684085917</v>
      </c>
      <c r="T768" s="219">
        <f t="shared" si="214"/>
        <v>98.573382519970693</v>
      </c>
      <c r="U768" s="219">
        <f t="shared" si="215"/>
        <v>1.1190860676741423</v>
      </c>
      <c r="V768" s="188">
        <f t="shared" si="216"/>
        <v>5567608558019771</v>
      </c>
      <c r="W768" s="323">
        <v>5.2499999999999998E-2</v>
      </c>
      <c r="X768" s="323">
        <v>4.8800000000000003E-2</v>
      </c>
      <c r="Y768" s="323">
        <v>3.0200000000000001E-2</v>
      </c>
      <c r="Z768" s="323">
        <v>9.4924782252656902E-3</v>
      </c>
      <c r="AA768" s="323">
        <v>12.07</v>
      </c>
      <c r="AB768" s="323">
        <v>11.75</v>
      </c>
      <c r="AC768" s="323">
        <v>10.43</v>
      </c>
      <c r="AD768" s="323">
        <v>2.0294263791947298</v>
      </c>
      <c r="AE768" s="323">
        <v>0.13</v>
      </c>
      <c r="AF768" s="323">
        <v>0.04</v>
      </c>
      <c r="AG768" s="323">
        <v>0.98</v>
      </c>
      <c r="AH768" s="323">
        <v>282.56152401542602</v>
      </c>
      <c r="AI768" s="323">
        <v>0.97</v>
      </c>
      <c r="AJ768" s="323">
        <v>1.26</v>
      </c>
      <c r="AK768" s="323">
        <v>7.79</v>
      </c>
      <c r="AL768" s="323">
        <v>173.072791917855</v>
      </c>
      <c r="AM768" s="323">
        <v>0.29699999999999999</v>
      </c>
      <c r="AN768" s="323">
        <v>0.29880000000000001</v>
      </c>
      <c r="AO768" s="323">
        <v>0.2268</v>
      </c>
      <c r="AP768" s="323">
        <v>0.17249999999999999</v>
      </c>
      <c r="AQ768" s="323">
        <v>0.36091000000000001</v>
      </c>
      <c r="AR768" s="323">
        <v>0.3508</v>
      </c>
      <c r="AS768" s="323">
        <v>0.33088499999999998</v>
      </c>
      <c r="AT768" s="323">
        <v>1.96486460317518</v>
      </c>
      <c r="AU768" s="190">
        <v>1953635779562520.5</v>
      </c>
      <c r="AV768" s="190">
        <v>2468701179990895.5</v>
      </c>
      <c r="AW768" s="190">
        <v>1.2852623467399076E+16</v>
      </c>
      <c r="AX768" s="190">
        <v>9775474198087922</v>
      </c>
      <c r="AY768" s="203">
        <v>0.2</v>
      </c>
      <c r="BB768" s="204">
        <v>37446</v>
      </c>
      <c r="BC768" s="203" t="s">
        <v>3227</v>
      </c>
    </row>
    <row r="769" spans="1:55" x14ac:dyDescent="0.2">
      <c r="A769" s="184" t="s">
        <v>2795</v>
      </c>
      <c r="B769" s="184" t="s">
        <v>2795</v>
      </c>
      <c r="C769" s="184" t="s">
        <v>2718</v>
      </c>
      <c r="D769" s="185" t="s">
        <v>2692</v>
      </c>
      <c r="E769" s="184" t="s">
        <v>2796</v>
      </c>
      <c r="F769" s="184" t="s">
        <v>2796</v>
      </c>
      <c r="G769" s="186">
        <f>IF(ALECA_Input!$F$13="ICAO (3000ft)",'Aircraft Calc'!C$216,'Aircraft Calc'!G$216)</f>
        <v>0.5</v>
      </c>
      <c r="H769" s="186">
        <f>IF(ALECA_Input!$F$13="ICAO (3000ft)",'Aircraft Calc'!D$216,'Aircraft Calc'!H$216)</f>
        <v>2.5</v>
      </c>
      <c r="I769" s="186">
        <f>IF(ALECA_Input!$F$13="ICAO (3000ft)",'Aircraft Calc'!E$216,'Aircraft Calc'!I$216)</f>
        <v>4.5</v>
      </c>
      <c r="J769" s="189">
        <v>1</v>
      </c>
      <c r="K769" s="187">
        <f t="shared" si="205"/>
        <v>17.048999999999999</v>
      </c>
      <c r="L769" s="187">
        <f t="shared" si="206"/>
        <v>0.19006646999999999</v>
      </c>
      <c r="M769" s="187">
        <f t="shared" si="207"/>
        <v>8.4884699999999997E-3</v>
      </c>
      <c r="N769" s="187">
        <f t="shared" si="208"/>
        <v>7.4270610000000001E-2</v>
      </c>
      <c r="O769" s="187">
        <f t="shared" si="209"/>
        <v>5.83432554E-3</v>
      </c>
      <c r="P769" s="188">
        <f t="shared" si="210"/>
        <v>1.2594816074351638E+17</v>
      </c>
      <c r="Q769" s="187">
        <f t="shared" si="211"/>
        <v>569.54869351594141</v>
      </c>
      <c r="R769" s="219">
        <f t="shared" si="212"/>
        <v>1.1558571428571458</v>
      </c>
      <c r="S769" s="219">
        <f t="shared" si="213"/>
        <v>160.93254684085917</v>
      </c>
      <c r="T769" s="219">
        <f t="shared" si="214"/>
        <v>98.573382519970693</v>
      </c>
      <c r="U769" s="219">
        <f t="shared" si="215"/>
        <v>1.1190860676741423</v>
      </c>
      <c r="V769" s="188">
        <f t="shared" si="216"/>
        <v>5567608558019771</v>
      </c>
      <c r="W769" s="323">
        <v>5.2499999999999998E-2</v>
      </c>
      <c r="X769" s="323">
        <v>4.8800000000000003E-2</v>
      </c>
      <c r="Y769" s="323">
        <v>3.0200000000000001E-2</v>
      </c>
      <c r="Z769" s="323">
        <v>9.4924782252656902E-3</v>
      </c>
      <c r="AA769" s="323">
        <v>12.07</v>
      </c>
      <c r="AB769" s="323">
        <v>11.75</v>
      </c>
      <c r="AC769" s="323">
        <v>10.43</v>
      </c>
      <c r="AD769" s="323">
        <v>2.0294263791947298</v>
      </c>
      <c r="AE769" s="323">
        <v>0.13</v>
      </c>
      <c r="AF769" s="323">
        <v>0.04</v>
      </c>
      <c r="AG769" s="323">
        <v>0.98</v>
      </c>
      <c r="AH769" s="323">
        <v>282.56152401542602</v>
      </c>
      <c r="AI769" s="323">
        <v>0.97</v>
      </c>
      <c r="AJ769" s="323">
        <v>1.26</v>
      </c>
      <c r="AK769" s="323">
        <v>7.79</v>
      </c>
      <c r="AL769" s="323">
        <v>173.072791917855</v>
      </c>
      <c r="AM769" s="323">
        <v>0.29699999999999999</v>
      </c>
      <c r="AN769" s="323">
        <v>0.29880000000000001</v>
      </c>
      <c r="AO769" s="323">
        <v>0.2268</v>
      </c>
      <c r="AP769" s="323">
        <v>0.17249999999999999</v>
      </c>
      <c r="AQ769" s="323">
        <v>0.36091000000000001</v>
      </c>
      <c r="AR769" s="323">
        <v>0.3508</v>
      </c>
      <c r="AS769" s="323">
        <v>0.33088499999999998</v>
      </c>
      <c r="AT769" s="323">
        <v>1.96486460317518</v>
      </c>
      <c r="AU769" s="190">
        <v>1953635779562520.5</v>
      </c>
      <c r="AV769" s="190">
        <v>2468701179990895.5</v>
      </c>
      <c r="AW769" s="190">
        <v>1.2852623467399076E+16</v>
      </c>
      <c r="AX769" s="190">
        <v>9775474198087922</v>
      </c>
      <c r="AY769" s="203">
        <v>0.2</v>
      </c>
      <c r="BB769" s="204">
        <v>37446</v>
      </c>
      <c r="BC769" s="203" t="s">
        <v>3227</v>
      </c>
    </row>
    <row r="770" spans="1:55" x14ac:dyDescent="0.2">
      <c r="A770" s="184" t="s">
        <v>2797</v>
      </c>
      <c r="B770" s="184" t="s">
        <v>2797</v>
      </c>
      <c r="C770" s="184" t="s">
        <v>2718</v>
      </c>
      <c r="D770" s="185" t="s">
        <v>2692</v>
      </c>
      <c r="E770" s="184" t="s">
        <v>2798</v>
      </c>
      <c r="F770" s="184" t="s">
        <v>2798</v>
      </c>
      <c r="G770" s="186">
        <f>IF(ALECA_Input!$F$13="ICAO (3000ft)",'Aircraft Calc'!C$216,'Aircraft Calc'!G$216)</f>
        <v>0.5</v>
      </c>
      <c r="H770" s="186">
        <f>IF(ALECA_Input!$F$13="ICAO (3000ft)",'Aircraft Calc'!D$216,'Aircraft Calc'!H$216)</f>
        <v>2.5</v>
      </c>
      <c r="I770" s="186">
        <f>IF(ALECA_Input!$F$13="ICAO (3000ft)",'Aircraft Calc'!E$216,'Aircraft Calc'!I$216)</f>
        <v>4.5</v>
      </c>
      <c r="J770" s="189">
        <v>1</v>
      </c>
      <c r="K770" s="187">
        <f t="shared" si="205"/>
        <v>16.997999999999998</v>
      </c>
      <c r="L770" s="187">
        <f t="shared" si="206"/>
        <v>0.18405890999999996</v>
      </c>
      <c r="M770" s="187">
        <f t="shared" si="207"/>
        <v>1.0312229999999999E-2</v>
      </c>
      <c r="N770" s="187">
        <f t="shared" si="208"/>
        <v>7.9453229999999986E-2</v>
      </c>
      <c r="O770" s="187">
        <f t="shared" si="209"/>
        <v>5.861314267499999E-3</v>
      </c>
      <c r="P770" s="188">
        <f t="shared" si="210"/>
        <v>1.2391062408170845E+17</v>
      </c>
      <c r="Q770" s="187">
        <f t="shared" si="211"/>
        <v>565.6207714916934</v>
      </c>
      <c r="R770" s="219">
        <f t="shared" si="212"/>
        <v>0.88498285714286162</v>
      </c>
      <c r="S770" s="219">
        <f t="shared" si="213"/>
        <v>149.57227164471678</v>
      </c>
      <c r="T770" s="219">
        <f t="shared" si="214"/>
        <v>106.34261358765156</v>
      </c>
      <c r="U770" s="219">
        <f t="shared" si="215"/>
        <v>1.0481232921024513</v>
      </c>
      <c r="V770" s="188">
        <f t="shared" si="216"/>
        <v>5529211257619634</v>
      </c>
      <c r="W770" s="323">
        <v>5.2200000000000003E-2</v>
      </c>
      <c r="X770" s="323">
        <v>4.87E-2</v>
      </c>
      <c r="Y770" s="323">
        <v>3.0099999999999998E-2</v>
      </c>
      <c r="Z770" s="323">
        <v>9.4270128581948904E-3</v>
      </c>
      <c r="AA770" s="323">
        <v>11.76</v>
      </c>
      <c r="AB770" s="323">
        <v>11.55</v>
      </c>
      <c r="AC770" s="323">
        <v>10</v>
      </c>
      <c r="AD770" s="323">
        <v>1.56462227299207</v>
      </c>
      <c r="AE770" s="323">
        <v>0.14000000000000001</v>
      </c>
      <c r="AF770" s="323">
        <v>0.08</v>
      </c>
      <c r="AG770" s="323">
        <v>1.17</v>
      </c>
      <c r="AH770" s="323">
        <v>264.43914223704098</v>
      </c>
      <c r="AI770" s="323">
        <v>0.98</v>
      </c>
      <c r="AJ770" s="323">
        <v>1.21</v>
      </c>
      <c r="AK770" s="323">
        <v>8.5</v>
      </c>
      <c r="AL770" s="323">
        <v>188.010446128415</v>
      </c>
      <c r="AM770" s="323">
        <v>0.29149999999999998</v>
      </c>
      <c r="AN770" s="323">
        <v>0.29399999999999998</v>
      </c>
      <c r="AO770" s="323">
        <v>0.224</v>
      </c>
      <c r="AP770" s="323">
        <v>0.17249999999999999</v>
      </c>
      <c r="AQ770" s="323">
        <v>0.35655999999999999</v>
      </c>
      <c r="AR770" s="323">
        <v>0.34904000000000002</v>
      </c>
      <c r="AS770" s="323">
        <v>0.33877249999999998</v>
      </c>
      <c r="AT770" s="323">
        <v>1.8530495076025399</v>
      </c>
      <c r="AU770" s="190">
        <v>1917457339200251.8</v>
      </c>
      <c r="AV770" s="190">
        <v>2429043329709917</v>
      </c>
      <c r="AW770" s="190">
        <v>1.2693949103604026E+16</v>
      </c>
      <c r="AX770" s="190">
        <v>9775474198087922</v>
      </c>
      <c r="AY770" s="203">
        <v>0.2</v>
      </c>
      <c r="BB770" s="204">
        <v>37446</v>
      </c>
      <c r="BC770" s="203" t="s">
        <v>3227</v>
      </c>
    </row>
    <row r="771" spans="1:55" x14ac:dyDescent="0.2">
      <c r="A771" s="184" t="s">
        <v>2799</v>
      </c>
      <c r="B771" s="184" t="s">
        <v>2799</v>
      </c>
      <c r="C771" s="184" t="s">
        <v>2748</v>
      </c>
      <c r="D771" s="185" t="s">
        <v>2692</v>
      </c>
      <c r="E771" s="184" t="s">
        <v>2800</v>
      </c>
      <c r="F771" s="184" t="s">
        <v>2800</v>
      </c>
      <c r="G771" s="186">
        <f>IF(ALECA_Input!$F$13="ICAO (3000ft)",'Aircraft Calc'!C$216,'Aircraft Calc'!G$216)</f>
        <v>0.5</v>
      </c>
      <c r="H771" s="186">
        <f>IF(ALECA_Input!$F$13="ICAO (3000ft)",'Aircraft Calc'!D$216,'Aircraft Calc'!H$216)</f>
        <v>2.5</v>
      </c>
      <c r="I771" s="186">
        <f>IF(ALECA_Input!$F$13="ICAO (3000ft)",'Aircraft Calc'!E$216,'Aircraft Calc'!I$216)</f>
        <v>4.5</v>
      </c>
      <c r="J771" s="189">
        <v>1</v>
      </c>
      <c r="K771" s="187">
        <f t="shared" si="205"/>
        <v>76.38300000000001</v>
      </c>
      <c r="L771" s="187">
        <f t="shared" si="206"/>
        <v>0.45409620000000006</v>
      </c>
      <c r="M771" s="187">
        <f t="shared" si="207"/>
        <v>2.2683690000000003E-2</v>
      </c>
      <c r="N771" s="187">
        <f t="shared" si="208"/>
        <v>0</v>
      </c>
      <c r="O771" s="187">
        <f t="shared" si="209"/>
        <v>3.9616678905000008E-2</v>
      </c>
      <c r="P771" s="188">
        <f t="shared" si="210"/>
        <v>9.817774680547209E+17</v>
      </c>
      <c r="Q771" s="187">
        <f t="shared" si="211"/>
        <v>3590.1207301625518</v>
      </c>
      <c r="R771" s="219">
        <f t="shared" si="212"/>
        <v>5.8757142857143201</v>
      </c>
      <c r="S771" s="219">
        <f t="shared" si="213"/>
        <v>1.6502706294916918</v>
      </c>
      <c r="T771" s="219">
        <f t="shared" si="214"/>
        <v>0</v>
      </c>
      <c r="U771" s="219">
        <f t="shared" si="215"/>
        <v>1.2629906997814879</v>
      </c>
      <c r="V771" s="188">
        <f t="shared" si="216"/>
        <v>6.1035013157781904E+16</v>
      </c>
      <c r="W771" s="323">
        <v>0.25690000000000002</v>
      </c>
      <c r="X771" s="323">
        <v>0.22689999999999999</v>
      </c>
      <c r="Y771" s="323">
        <v>0.1283</v>
      </c>
      <c r="Z771" s="323">
        <v>5.9835345502709199E-2</v>
      </c>
      <c r="AA771" s="323">
        <v>9.2000000000000011</v>
      </c>
      <c r="AB771" s="323">
        <v>7.9</v>
      </c>
      <c r="AC771" s="323">
        <v>3.3000000000000003</v>
      </c>
      <c r="AD771" s="323">
        <v>1.6366341767699499</v>
      </c>
      <c r="AE771" s="323">
        <v>0.27</v>
      </c>
      <c r="AF771" s="323">
        <v>0.3</v>
      </c>
      <c r="AG771" s="323">
        <v>0.3</v>
      </c>
      <c r="AH771" s="323">
        <v>0.459669953610995</v>
      </c>
      <c r="AI771" s="323">
        <v>0</v>
      </c>
      <c r="AJ771" s="323">
        <v>0</v>
      </c>
      <c r="AK771" s="323">
        <v>0</v>
      </c>
      <c r="AL771" s="323">
        <v>0</v>
      </c>
      <c r="AM771" s="323">
        <v>0.44</v>
      </c>
      <c r="AN771" s="323">
        <v>0.48</v>
      </c>
      <c r="AO771" s="323">
        <v>0.42</v>
      </c>
      <c r="AP771" s="323">
        <v>0.3</v>
      </c>
      <c r="AQ771" s="323">
        <v>0.52000999999999997</v>
      </c>
      <c r="AR771" s="323">
        <v>0.55176000000000003</v>
      </c>
      <c r="AS771" s="323">
        <v>0.48583500000000002</v>
      </c>
      <c r="AT771" s="323">
        <v>0.35179616361377986</v>
      </c>
      <c r="AU771" s="190">
        <v>2894275228981512</v>
      </c>
      <c r="AV771" s="190">
        <v>3965785028097823.5</v>
      </c>
      <c r="AW771" s="190">
        <v>2.3801154569257552E+16</v>
      </c>
      <c r="AX771" s="190">
        <v>1.700082469232682E+16</v>
      </c>
      <c r="AY771" s="203">
        <v>0.6</v>
      </c>
      <c r="BB771" s="204">
        <v>37446</v>
      </c>
      <c r="BC771" s="203" t="s">
        <v>3231</v>
      </c>
    </row>
    <row r="772" spans="1:55" x14ac:dyDescent="0.2">
      <c r="A772" s="184" t="s">
        <v>2801</v>
      </c>
      <c r="B772" s="184" t="s">
        <v>2801</v>
      </c>
      <c r="C772" s="184" t="s">
        <v>2748</v>
      </c>
      <c r="D772" s="185" t="s">
        <v>2692</v>
      </c>
      <c r="E772" s="184" t="s">
        <v>2802</v>
      </c>
      <c r="F772" s="184" t="s">
        <v>2802</v>
      </c>
      <c r="G772" s="186">
        <f>IF(ALECA_Input!$F$13="ICAO (3000ft)",'Aircraft Calc'!C$216,'Aircraft Calc'!G$216)</f>
        <v>0.5</v>
      </c>
      <c r="H772" s="186">
        <f>IF(ALECA_Input!$F$13="ICAO (3000ft)",'Aircraft Calc'!D$216,'Aircraft Calc'!H$216)</f>
        <v>2.5</v>
      </c>
      <c r="I772" s="186">
        <f>IF(ALECA_Input!$F$13="ICAO (3000ft)",'Aircraft Calc'!E$216,'Aircraft Calc'!I$216)</f>
        <v>4.5</v>
      </c>
      <c r="J772" s="189">
        <v>1</v>
      </c>
      <c r="K772" s="187">
        <f t="shared" si="205"/>
        <v>60.144000000000005</v>
      </c>
      <c r="L772" s="187">
        <f t="shared" si="206"/>
        <v>0.53242560000000005</v>
      </c>
      <c r="M772" s="187">
        <f t="shared" si="207"/>
        <v>2.8610478000000002E-2</v>
      </c>
      <c r="N772" s="187">
        <f t="shared" si="208"/>
        <v>0.13093518000000001</v>
      </c>
      <c r="O772" s="187">
        <f t="shared" si="209"/>
        <v>0.11370127360725002</v>
      </c>
      <c r="P772" s="188">
        <f t="shared" si="210"/>
        <v>2.61504E+17</v>
      </c>
      <c r="Q772" s="187">
        <f t="shared" si="211"/>
        <v>2231.0597097727918</v>
      </c>
      <c r="R772" s="219">
        <f t="shared" si="212"/>
        <v>8.3106514285714734</v>
      </c>
      <c r="S772" s="219">
        <f t="shared" si="213"/>
        <v>37.072644301090421</v>
      </c>
      <c r="T772" s="219">
        <f t="shared" si="214"/>
        <v>67.936146092128936</v>
      </c>
      <c r="U772" s="219">
        <f t="shared" si="215"/>
        <v>3.0152425504555542</v>
      </c>
      <c r="V772" s="188">
        <f t="shared" si="216"/>
        <v>2.3426126952614312E+16</v>
      </c>
      <c r="W772" s="323">
        <v>0.19500000000000001</v>
      </c>
      <c r="X772" s="323">
        <v>0.17530000000000001</v>
      </c>
      <c r="Y772" s="323">
        <v>0.1037</v>
      </c>
      <c r="Z772" s="323">
        <v>3.7184328496213198E-2</v>
      </c>
      <c r="AA772" s="323">
        <v>12.08</v>
      </c>
      <c r="AB772" s="323">
        <v>10.32</v>
      </c>
      <c r="AC772" s="323">
        <v>6.8</v>
      </c>
      <c r="AD772" s="323">
        <v>3.7249793863284002</v>
      </c>
      <c r="AE772" s="323">
        <v>3.0800000000000001E-2</v>
      </c>
      <c r="AF772" s="323">
        <v>5.5800000000000002E-2</v>
      </c>
      <c r="AG772" s="323">
        <v>0.96299999999999997</v>
      </c>
      <c r="AH772" s="323">
        <v>16.616607856212799</v>
      </c>
      <c r="AI772" s="323">
        <v>0.84799999999999998</v>
      </c>
      <c r="AJ772" s="323">
        <v>1.0640000000000001</v>
      </c>
      <c r="AK772" s="323">
        <v>3.5</v>
      </c>
      <c r="AL772" s="323">
        <v>30.450169394635999</v>
      </c>
      <c r="AM772" s="323">
        <v>1.98</v>
      </c>
      <c r="AN772" s="323">
        <v>1.92</v>
      </c>
      <c r="AO772" s="323">
        <v>1.68</v>
      </c>
      <c r="AP772" s="323">
        <v>1.2</v>
      </c>
      <c r="AQ772" s="323">
        <v>2.032502</v>
      </c>
      <c r="AR772" s="323">
        <v>1.9732008000000001</v>
      </c>
      <c r="AS772" s="323">
        <v>1.7831287499999999</v>
      </c>
      <c r="AT772" s="323">
        <v>1.351484470472833</v>
      </c>
      <c r="AU772" s="190">
        <v>2500000000000000</v>
      </c>
      <c r="AV772" s="190">
        <v>3000000000000000</v>
      </c>
      <c r="AW772" s="190">
        <v>6000000000000000</v>
      </c>
      <c r="AX772" s="190">
        <v>1.05E+16</v>
      </c>
      <c r="AY772" s="203">
        <v>0.7</v>
      </c>
      <c r="BB772" s="204">
        <v>37446</v>
      </c>
      <c r="BC772" s="203" t="s">
        <v>3232</v>
      </c>
    </row>
    <row r="773" spans="1:55" x14ac:dyDescent="0.2">
      <c r="A773" s="184" t="s">
        <v>2803</v>
      </c>
      <c r="B773" s="184" t="s">
        <v>2803</v>
      </c>
      <c r="C773" s="184" t="s">
        <v>2748</v>
      </c>
      <c r="D773" s="185" t="s">
        <v>2692</v>
      </c>
      <c r="E773" s="184" t="s">
        <v>2804</v>
      </c>
      <c r="F773" s="184" t="s">
        <v>2804</v>
      </c>
      <c r="G773" s="186">
        <f>IF(ALECA_Input!$F$13="ICAO (3000ft)",'Aircraft Calc'!C$216,'Aircraft Calc'!G$216)</f>
        <v>0.5</v>
      </c>
      <c r="H773" s="186">
        <f>IF(ALECA_Input!$F$13="ICAO (3000ft)",'Aircraft Calc'!D$216,'Aircraft Calc'!H$216)</f>
        <v>2.5</v>
      </c>
      <c r="I773" s="186">
        <f>IF(ALECA_Input!$F$13="ICAO (3000ft)",'Aircraft Calc'!E$216,'Aircraft Calc'!I$216)</f>
        <v>4.5</v>
      </c>
      <c r="J773" s="189">
        <v>1</v>
      </c>
      <c r="K773" s="187">
        <f t="shared" si="205"/>
        <v>60.144000000000005</v>
      </c>
      <c r="L773" s="187">
        <f t="shared" si="206"/>
        <v>0.53242560000000005</v>
      </c>
      <c r="M773" s="187">
        <f t="shared" si="207"/>
        <v>2.8610478000000002E-2</v>
      </c>
      <c r="N773" s="187">
        <f t="shared" si="208"/>
        <v>0.13093518000000001</v>
      </c>
      <c r="O773" s="187">
        <f t="shared" si="209"/>
        <v>0.11370127360725002</v>
      </c>
      <c r="P773" s="188">
        <f t="shared" si="210"/>
        <v>2.61504E+17</v>
      </c>
      <c r="Q773" s="187">
        <f t="shared" si="211"/>
        <v>2231.0597097727918</v>
      </c>
      <c r="R773" s="219">
        <f t="shared" si="212"/>
        <v>8.3106514285714734</v>
      </c>
      <c r="S773" s="219">
        <f t="shared" si="213"/>
        <v>37.072644301090421</v>
      </c>
      <c r="T773" s="219">
        <f t="shared" si="214"/>
        <v>67.936146092128936</v>
      </c>
      <c r="U773" s="219">
        <f t="shared" si="215"/>
        <v>3.0152425504555542</v>
      </c>
      <c r="V773" s="188">
        <f t="shared" si="216"/>
        <v>2.3426126952614312E+16</v>
      </c>
      <c r="W773" s="323">
        <v>0.19500000000000001</v>
      </c>
      <c r="X773" s="323">
        <v>0.17530000000000001</v>
      </c>
      <c r="Y773" s="323">
        <v>0.1037</v>
      </c>
      <c r="Z773" s="323">
        <v>3.7184328496213198E-2</v>
      </c>
      <c r="AA773" s="323">
        <v>12.08</v>
      </c>
      <c r="AB773" s="323">
        <v>10.32</v>
      </c>
      <c r="AC773" s="323">
        <v>6.8</v>
      </c>
      <c r="AD773" s="323">
        <v>3.7249793863284002</v>
      </c>
      <c r="AE773" s="323">
        <v>3.0800000000000001E-2</v>
      </c>
      <c r="AF773" s="323">
        <v>5.5800000000000002E-2</v>
      </c>
      <c r="AG773" s="323">
        <v>0.96299999999999997</v>
      </c>
      <c r="AH773" s="323">
        <v>16.616607856212799</v>
      </c>
      <c r="AI773" s="323">
        <v>0.84799999999999998</v>
      </c>
      <c r="AJ773" s="323">
        <v>1.0640000000000001</v>
      </c>
      <c r="AK773" s="323">
        <v>3.5</v>
      </c>
      <c r="AL773" s="323">
        <v>30.450169394635999</v>
      </c>
      <c r="AM773" s="323">
        <v>1.98</v>
      </c>
      <c r="AN773" s="323">
        <v>1.92</v>
      </c>
      <c r="AO773" s="323">
        <v>1.68</v>
      </c>
      <c r="AP773" s="323">
        <v>1.2</v>
      </c>
      <c r="AQ773" s="323">
        <v>2.032502</v>
      </c>
      <c r="AR773" s="323">
        <v>1.9732008000000001</v>
      </c>
      <c r="AS773" s="323">
        <v>1.7831287499999999</v>
      </c>
      <c r="AT773" s="323">
        <v>1.351484470472833</v>
      </c>
      <c r="AU773" s="190">
        <v>2500000000000000</v>
      </c>
      <c r="AV773" s="190">
        <v>3000000000000000</v>
      </c>
      <c r="AW773" s="190">
        <v>6000000000000000</v>
      </c>
      <c r="AX773" s="190">
        <v>1.05E+16</v>
      </c>
      <c r="AY773" s="203">
        <v>0.7</v>
      </c>
      <c r="BB773" s="204">
        <v>37446</v>
      </c>
      <c r="BC773" s="203" t="s">
        <v>3232</v>
      </c>
    </row>
    <row r="774" spans="1:55" x14ac:dyDescent="0.2">
      <c r="A774" s="184" t="s">
        <v>2805</v>
      </c>
      <c r="B774" s="184" t="s">
        <v>2805</v>
      </c>
      <c r="C774" s="184" t="s">
        <v>715</v>
      </c>
      <c r="D774" s="185" t="s">
        <v>2692</v>
      </c>
      <c r="E774" s="184" t="s">
        <v>2806</v>
      </c>
      <c r="F774" s="184" t="s">
        <v>2807</v>
      </c>
      <c r="G774" s="186">
        <f>IF(ALECA_Input!$F$13="ICAO (3000ft)",'Aircraft Calc'!C$216,'Aircraft Calc'!G$216)</f>
        <v>0.5</v>
      </c>
      <c r="H774" s="186">
        <f>IF(ALECA_Input!$F$13="ICAO (3000ft)",'Aircraft Calc'!D$216,'Aircraft Calc'!H$216)</f>
        <v>2.5</v>
      </c>
      <c r="I774" s="186">
        <f>IF(ALECA_Input!$F$13="ICAO (3000ft)",'Aircraft Calc'!E$216,'Aircraft Calc'!I$216)</f>
        <v>4.5</v>
      </c>
      <c r="J774" s="189">
        <v>1</v>
      </c>
      <c r="K774" s="187">
        <f t="shared" si="205"/>
        <v>134.10000000000002</v>
      </c>
      <c r="L774" s="187">
        <f t="shared" si="206"/>
        <v>2.2776000000000005</v>
      </c>
      <c r="M774" s="187">
        <f t="shared" si="207"/>
        <v>9.8250000000000004E-2</v>
      </c>
      <c r="N774" s="187">
        <f t="shared" si="208"/>
        <v>0.27989999999999998</v>
      </c>
      <c r="O774" s="187">
        <f t="shared" si="209"/>
        <v>2.0029836000000002E-2</v>
      </c>
      <c r="P774" s="188">
        <f t="shared" si="210"/>
        <v>8.4701651589089696E+16</v>
      </c>
      <c r="Q774" s="187">
        <f t="shared" si="211"/>
        <v>3000</v>
      </c>
      <c r="R774" s="219">
        <f t="shared" si="212"/>
        <v>9</v>
      </c>
      <c r="S774" s="219">
        <f t="shared" si="213"/>
        <v>30</v>
      </c>
      <c r="T774" s="219">
        <f t="shared" si="214"/>
        <v>72</v>
      </c>
      <c r="U774" s="219">
        <f t="shared" si="215"/>
        <v>0.37697999999999998</v>
      </c>
      <c r="V774" s="188">
        <f t="shared" si="216"/>
        <v>2550123703849023</v>
      </c>
      <c r="W774" s="323">
        <v>0.55000000000000004</v>
      </c>
      <c r="X774" s="323">
        <v>0.46</v>
      </c>
      <c r="Y774" s="323">
        <v>0.18</v>
      </c>
      <c r="Z774" s="323">
        <v>0.05</v>
      </c>
      <c r="AA774" s="323">
        <v>22</v>
      </c>
      <c r="AB774" s="323">
        <v>20</v>
      </c>
      <c r="AC774" s="323">
        <v>11</v>
      </c>
      <c r="AD774" s="323">
        <v>3</v>
      </c>
      <c r="AE774" s="323">
        <v>0.5</v>
      </c>
      <c r="AF774" s="323">
        <v>0.6</v>
      </c>
      <c r="AG774" s="323">
        <v>1</v>
      </c>
      <c r="AH774" s="323">
        <v>10</v>
      </c>
      <c r="AI774" s="323">
        <v>1</v>
      </c>
      <c r="AJ774" s="323">
        <v>1</v>
      </c>
      <c r="AK774" s="323">
        <v>4</v>
      </c>
      <c r="AL774" s="323">
        <v>24</v>
      </c>
      <c r="AM774" s="323">
        <v>0.11</v>
      </c>
      <c r="AN774" s="323">
        <v>0.06</v>
      </c>
      <c r="AO774" s="323">
        <v>1.4E-2</v>
      </c>
      <c r="AP774" s="323">
        <v>1.4999999999999999E-2</v>
      </c>
      <c r="AQ774" s="323">
        <v>0.21646000000000001</v>
      </c>
      <c r="AR774" s="323">
        <v>0.15456</v>
      </c>
      <c r="AS774" s="323">
        <v>0.11921</v>
      </c>
      <c r="AT774" s="323">
        <v>0.12565999999999999</v>
      </c>
      <c r="AU774" s="190">
        <v>723568807245378</v>
      </c>
      <c r="AV774" s="190">
        <v>495723128512228</v>
      </c>
      <c r="AW774" s="190">
        <v>793371818975251.63</v>
      </c>
      <c r="AX774" s="190">
        <v>850041234616341</v>
      </c>
      <c r="AY774" s="203">
        <v>2.4</v>
      </c>
      <c r="BB774" s="204">
        <v>41123</v>
      </c>
      <c r="BC774" s="203" t="s">
        <v>3227</v>
      </c>
    </row>
    <row r="775" spans="1:55" x14ac:dyDescent="0.2">
      <c r="A775" s="184" t="s">
        <v>2808</v>
      </c>
      <c r="B775" s="184" t="s">
        <v>2808</v>
      </c>
      <c r="C775" s="184" t="s">
        <v>774</v>
      </c>
      <c r="D775" s="185" t="s">
        <v>2692</v>
      </c>
      <c r="E775" s="184" t="s">
        <v>2809</v>
      </c>
      <c r="F775" s="184" t="s">
        <v>2809</v>
      </c>
      <c r="G775" s="186">
        <f>IF(ALECA_Input!$F$13="ICAO (3000ft)",'Aircraft Calc'!C$216,'Aircraft Calc'!G$216)</f>
        <v>0.5</v>
      </c>
      <c r="H775" s="186">
        <f>IF(ALECA_Input!$F$13="ICAO (3000ft)",'Aircraft Calc'!D$216,'Aircraft Calc'!H$216)</f>
        <v>2.5</v>
      </c>
      <c r="I775" s="186">
        <f>IF(ALECA_Input!$F$13="ICAO (3000ft)",'Aircraft Calc'!E$216,'Aircraft Calc'!I$216)</f>
        <v>4.5</v>
      </c>
      <c r="J775" s="189">
        <v>1</v>
      </c>
      <c r="K775" s="187">
        <f t="shared" si="205"/>
        <v>61.8</v>
      </c>
      <c r="L775" s="187">
        <f t="shared" si="206"/>
        <v>0.11705378399999999</v>
      </c>
      <c r="M775" s="187">
        <f t="shared" si="207"/>
        <v>0.18094481400000001</v>
      </c>
      <c r="N775" s="187">
        <f t="shared" si="208"/>
        <v>1.2656693339999998</v>
      </c>
      <c r="O775" s="187">
        <f t="shared" si="209"/>
        <v>4.1145968527499993E-2</v>
      </c>
      <c r="P775" s="188">
        <f t="shared" si="210"/>
        <v>8.2840983719366131E+17</v>
      </c>
      <c r="Q775" s="187">
        <f t="shared" si="211"/>
        <v>2160.3571133363275</v>
      </c>
      <c r="R775" s="219">
        <f t="shared" si="212"/>
        <v>1.4132957142857194</v>
      </c>
      <c r="S775" s="219">
        <f t="shared" si="213"/>
        <v>606.49731067275241</v>
      </c>
      <c r="T775" s="219">
        <f t="shared" si="214"/>
        <v>749.69038779989751</v>
      </c>
      <c r="U775" s="219">
        <f t="shared" si="215"/>
        <v>4.4959666251207278</v>
      </c>
      <c r="V775" s="188">
        <f t="shared" si="216"/>
        <v>3.6727852556652128E+16</v>
      </c>
      <c r="W775" s="323">
        <v>0.18</v>
      </c>
      <c r="X775" s="323">
        <v>0.17799999999999999</v>
      </c>
      <c r="Y775" s="323">
        <v>0.11</v>
      </c>
      <c r="Z775" s="323">
        <v>3.6005951888938799E-2</v>
      </c>
      <c r="AA775" s="323">
        <v>2.7213099999999999</v>
      </c>
      <c r="AB775" s="323">
        <v>2.7212999999999998</v>
      </c>
      <c r="AC775" s="323">
        <v>1</v>
      </c>
      <c r="AD775" s="323">
        <v>0.65419541313848295</v>
      </c>
      <c r="AE775" s="323">
        <v>0.32690999999999998</v>
      </c>
      <c r="AF775" s="323">
        <v>0.32690000000000002</v>
      </c>
      <c r="AG775" s="323">
        <v>5.7390999999999996</v>
      </c>
      <c r="AH775" s="323">
        <v>280.73937726717497</v>
      </c>
      <c r="AI775" s="323">
        <v>7.3548099999999996</v>
      </c>
      <c r="AJ775" s="323">
        <v>7.3548</v>
      </c>
      <c r="AK775" s="323">
        <v>34.665999999999997</v>
      </c>
      <c r="AL775" s="323">
        <v>347.02151008826502</v>
      </c>
      <c r="AM775" s="323">
        <v>0.44</v>
      </c>
      <c r="AN775" s="323">
        <v>0.48</v>
      </c>
      <c r="AO775" s="323">
        <v>0.42</v>
      </c>
      <c r="AP775" s="323">
        <v>0.3</v>
      </c>
      <c r="AQ775" s="323">
        <v>0.52655465000000001</v>
      </c>
      <c r="AR775" s="323">
        <v>0.55380439999999997</v>
      </c>
      <c r="AS775" s="323">
        <v>0.79178437499999998</v>
      </c>
      <c r="AT775" s="323">
        <v>2.0811219577384699</v>
      </c>
      <c r="AU775" s="190">
        <v>2894275228981512</v>
      </c>
      <c r="AV775" s="190">
        <v>3965785028097823.5</v>
      </c>
      <c r="AW775" s="190">
        <v>2.3801154569257552E+16</v>
      </c>
      <c r="AX775" s="190">
        <v>1.700082469232682E+16</v>
      </c>
      <c r="AY775" s="203">
        <v>0.1</v>
      </c>
      <c r="BB775" s="204">
        <v>37446</v>
      </c>
      <c r="BC775" s="203" t="s">
        <v>3231</v>
      </c>
    </row>
    <row r="776" spans="1:55" x14ac:dyDescent="0.2">
      <c r="A776" s="184" t="s">
        <v>2811</v>
      </c>
      <c r="B776" s="184" t="s">
        <v>2810</v>
      </c>
      <c r="C776" s="184" t="s">
        <v>723</v>
      </c>
      <c r="D776" s="185" t="s">
        <v>2692</v>
      </c>
      <c r="E776" s="184" t="s">
        <v>2811</v>
      </c>
      <c r="F776" s="184" t="s">
        <v>2811</v>
      </c>
      <c r="G776" s="186">
        <f>IF(ALECA_Input!$F$13="ICAO (3000ft)",'Aircraft Calc'!C$216,'Aircraft Calc'!G$216)</f>
        <v>0.5</v>
      </c>
      <c r="H776" s="186">
        <f>IF(ALECA_Input!$F$13="ICAO (3000ft)",'Aircraft Calc'!D$216,'Aircraft Calc'!H$216)</f>
        <v>2.5</v>
      </c>
      <c r="I776" s="186">
        <f>IF(ALECA_Input!$F$13="ICAO (3000ft)",'Aircraft Calc'!E$216,'Aircraft Calc'!I$216)</f>
        <v>4.5</v>
      </c>
      <c r="J776" s="189">
        <v>1</v>
      </c>
      <c r="K776" s="187">
        <f t="shared" si="205"/>
        <v>12.590999999999999</v>
      </c>
      <c r="L776" s="187">
        <f t="shared" si="206"/>
        <v>7.7282099999999992E-2</v>
      </c>
      <c r="M776" s="187">
        <f t="shared" si="207"/>
        <v>1.7414999999999998E-3</v>
      </c>
      <c r="N776" s="187">
        <f t="shared" si="208"/>
        <v>3.5811000000000003E-2</v>
      </c>
      <c r="O776" s="187">
        <f t="shared" si="209"/>
        <v>3.4591099349999999E-3</v>
      </c>
      <c r="P776" s="188">
        <f t="shared" si="210"/>
        <v>7.7268312463561648E+16</v>
      </c>
      <c r="Q776" s="187">
        <f t="shared" si="211"/>
        <v>518.48570720071859</v>
      </c>
      <c r="R776" s="219">
        <f t="shared" si="212"/>
        <v>1.3577142857142883</v>
      </c>
      <c r="S776" s="219">
        <f t="shared" si="213"/>
        <v>3.0097347737123932</v>
      </c>
      <c r="T776" s="219">
        <f t="shared" si="214"/>
        <v>31.521493731780339</v>
      </c>
      <c r="U776" s="219">
        <f t="shared" si="215"/>
        <v>0.13028299402727228</v>
      </c>
      <c r="V776" s="188">
        <f t="shared" si="216"/>
        <v>4892149960546064</v>
      </c>
      <c r="W776" s="323">
        <v>4.1200000000000001E-2</v>
      </c>
      <c r="X776" s="323">
        <v>3.6999999999999998E-2</v>
      </c>
      <c r="Y776" s="323">
        <v>2.1499999999999998E-2</v>
      </c>
      <c r="Z776" s="323">
        <v>8.6414284533453106E-3</v>
      </c>
      <c r="AA776" s="323">
        <v>7.1000000000000005</v>
      </c>
      <c r="AB776" s="323">
        <v>6.8</v>
      </c>
      <c r="AC776" s="323">
        <v>5.3</v>
      </c>
      <c r="AD776" s="323">
        <v>2.6186146828319101</v>
      </c>
      <c r="AE776" s="323">
        <v>0</v>
      </c>
      <c r="AF776" s="323">
        <v>0</v>
      </c>
      <c r="AG776" s="323">
        <v>0.3</v>
      </c>
      <c r="AH776" s="323">
        <v>5.80485581745699</v>
      </c>
      <c r="AI776" s="323">
        <v>1</v>
      </c>
      <c r="AJ776" s="323">
        <v>1</v>
      </c>
      <c r="AK776" s="323">
        <v>5</v>
      </c>
      <c r="AL776" s="323">
        <v>60.795299260925603</v>
      </c>
      <c r="AM776" s="323">
        <v>0.23319999999999999</v>
      </c>
      <c r="AN776" s="323">
        <v>0.23760000000000001</v>
      </c>
      <c r="AO776" s="323">
        <v>0.19600000000000001</v>
      </c>
      <c r="AP776" s="323">
        <v>0.16650000000000001</v>
      </c>
      <c r="AQ776" s="323">
        <v>0.28216000000000002</v>
      </c>
      <c r="AR776" s="323">
        <v>0.28655999999999998</v>
      </c>
      <c r="AS776" s="323">
        <v>0.26183499999999998</v>
      </c>
      <c r="AT776" s="323">
        <v>0.25127596039370959</v>
      </c>
      <c r="AU776" s="190">
        <v>1533965871360201.5</v>
      </c>
      <c r="AV776" s="190">
        <v>1963063588908422.8</v>
      </c>
      <c r="AW776" s="190">
        <v>1.1107205465653522E+16</v>
      </c>
      <c r="AX776" s="190">
        <v>9435457704241386</v>
      </c>
      <c r="AY776" s="203">
        <v>0.1</v>
      </c>
      <c r="BB776" s="204">
        <v>37446</v>
      </c>
      <c r="BC776" s="203" t="s">
        <v>3227</v>
      </c>
    </row>
    <row r="777" spans="1:55" x14ac:dyDescent="0.2">
      <c r="A777" s="184" t="s">
        <v>2813</v>
      </c>
      <c r="B777" s="184" t="s">
        <v>2812</v>
      </c>
      <c r="C777" s="184" t="s">
        <v>723</v>
      </c>
      <c r="D777" s="185" t="s">
        <v>2692</v>
      </c>
      <c r="E777" s="184" t="s">
        <v>2813</v>
      </c>
      <c r="F777" s="184" t="s">
        <v>2813</v>
      </c>
      <c r="G777" s="186">
        <f>IF(ALECA_Input!$F$13="ICAO (3000ft)",'Aircraft Calc'!C$216,'Aircraft Calc'!G$216)</f>
        <v>0.5</v>
      </c>
      <c r="H777" s="186">
        <f>IF(ALECA_Input!$F$13="ICAO (3000ft)",'Aircraft Calc'!D$216,'Aircraft Calc'!H$216)</f>
        <v>2.5</v>
      </c>
      <c r="I777" s="186">
        <f>IF(ALECA_Input!$F$13="ICAO (3000ft)",'Aircraft Calc'!E$216,'Aircraft Calc'!I$216)</f>
        <v>4.5</v>
      </c>
      <c r="J777" s="189">
        <v>1</v>
      </c>
      <c r="K777" s="187">
        <f t="shared" si="205"/>
        <v>12.203999999999999</v>
      </c>
      <c r="L777" s="187">
        <f t="shared" si="206"/>
        <v>7.3703699999999997E-2</v>
      </c>
      <c r="M777" s="187">
        <f t="shared" si="207"/>
        <v>2.2464E-3</v>
      </c>
      <c r="N777" s="187">
        <f t="shared" si="208"/>
        <v>4.2530400000000003E-2</v>
      </c>
      <c r="O777" s="187">
        <f t="shared" si="209"/>
        <v>3.3299681399999994E-3</v>
      </c>
      <c r="P777" s="188">
        <f t="shared" si="210"/>
        <v>7.3592939469095712E+16</v>
      </c>
      <c r="Q777" s="187">
        <f t="shared" si="211"/>
        <v>479.20648695824042</v>
      </c>
      <c r="R777" s="219">
        <f t="shared" si="212"/>
        <v>1.2234857142857167</v>
      </c>
      <c r="S777" s="219">
        <f t="shared" si="213"/>
        <v>3.1791137869516266</v>
      </c>
      <c r="T777" s="219">
        <f t="shared" si="214"/>
        <v>30.590595601422564</v>
      </c>
      <c r="U777" s="219">
        <f t="shared" si="215"/>
        <v>0.12286496174551399</v>
      </c>
      <c r="V777" s="188">
        <f t="shared" si="216"/>
        <v>4521532539292579</v>
      </c>
      <c r="W777" s="323">
        <v>4.0099999999999997E-2</v>
      </c>
      <c r="X777" s="323">
        <v>3.5900000000000001E-2</v>
      </c>
      <c r="Y777" s="323">
        <v>2.0799999999999999E-2</v>
      </c>
      <c r="Z777" s="323">
        <v>7.9867747826373407E-3</v>
      </c>
      <c r="AA777" s="323">
        <v>7</v>
      </c>
      <c r="AB777" s="323">
        <v>6.7</v>
      </c>
      <c r="AC777" s="323">
        <v>5.2</v>
      </c>
      <c r="AD777" s="323">
        <v>2.55314931576111</v>
      </c>
      <c r="AE777" s="323">
        <v>0</v>
      </c>
      <c r="AF777" s="323">
        <v>0</v>
      </c>
      <c r="AG777" s="323">
        <v>0.4</v>
      </c>
      <c r="AH777" s="323">
        <v>6.6341209342365701</v>
      </c>
      <c r="AI777" s="323">
        <v>1</v>
      </c>
      <c r="AJ777" s="323">
        <v>1</v>
      </c>
      <c r="AK777" s="323">
        <v>6.4</v>
      </c>
      <c r="AL777" s="323">
        <v>63.835938022450698</v>
      </c>
      <c r="AM777" s="323">
        <v>0.22770000000000001</v>
      </c>
      <c r="AN777" s="323">
        <v>0.2316</v>
      </c>
      <c r="AO777" s="323">
        <v>0.19320000000000001</v>
      </c>
      <c r="AP777" s="323">
        <v>0.16650000000000001</v>
      </c>
      <c r="AQ777" s="323">
        <v>0.27666000000000002</v>
      </c>
      <c r="AR777" s="323">
        <v>0.28055999999999998</v>
      </c>
      <c r="AS777" s="323">
        <v>0.26466000000000001</v>
      </c>
      <c r="AT777" s="323">
        <v>0.25639252616423958</v>
      </c>
      <c r="AU777" s="190">
        <v>1497787430997932.5</v>
      </c>
      <c r="AV777" s="190">
        <v>1913491276057200</v>
      </c>
      <c r="AW777" s="190">
        <v>1.0948531101858472E+16</v>
      </c>
      <c r="AX777" s="190">
        <v>9435457704241386</v>
      </c>
      <c r="AY777" s="203">
        <v>0.1</v>
      </c>
      <c r="BB777" s="204">
        <v>37446</v>
      </c>
      <c r="BC777" s="203" t="s">
        <v>3227</v>
      </c>
    </row>
    <row r="778" spans="1:55" x14ac:dyDescent="0.2">
      <c r="A778" s="184" t="s">
        <v>344</v>
      </c>
      <c r="B778" s="184" t="s">
        <v>2814</v>
      </c>
      <c r="C778" s="184" t="s">
        <v>723</v>
      </c>
      <c r="D778" s="185" t="s">
        <v>2692</v>
      </c>
      <c r="E778" s="184" t="s">
        <v>344</v>
      </c>
      <c r="F778" s="184" t="s">
        <v>344</v>
      </c>
      <c r="G778" s="186">
        <f>IF(ALECA_Input!$F$13="ICAO (3000ft)",'Aircraft Calc'!C$216,'Aircraft Calc'!G$216)</f>
        <v>0.5</v>
      </c>
      <c r="H778" s="186">
        <f>IF(ALECA_Input!$F$13="ICAO (3000ft)",'Aircraft Calc'!D$216,'Aircraft Calc'!H$216)</f>
        <v>2.5</v>
      </c>
      <c r="I778" s="186">
        <f>IF(ALECA_Input!$F$13="ICAO (3000ft)",'Aircraft Calc'!E$216,'Aircraft Calc'!I$216)</f>
        <v>4.5</v>
      </c>
      <c r="J778" s="189">
        <v>1</v>
      </c>
      <c r="K778" s="187">
        <f t="shared" si="205"/>
        <v>12.846</v>
      </c>
      <c r="L778" s="187">
        <f t="shared" si="206"/>
        <v>7.8862200000000007E-2</v>
      </c>
      <c r="M778" s="187">
        <f t="shared" si="207"/>
        <v>1.7739000000000001E-3</v>
      </c>
      <c r="N778" s="187">
        <f t="shared" si="208"/>
        <v>3.8863200000000007E-2</v>
      </c>
      <c r="O778" s="187">
        <f t="shared" si="209"/>
        <v>3.5293936350000001E-3</v>
      </c>
      <c r="P778" s="188">
        <f t="shared" si="210"/>
        <v>7.8744875363047968E+16</v>
      </c>
      <c r="Q778" s="187">
        <f t="shared" si="211"/>
        <v>510.62986315222315</v>
      </c>
      <c r="R778" s="219">
        <f t="shared" si="212"/>
        <v>1.3371428571428605</v>
      </c>
      <c r="S778" s="219">
        <f t="shared" si="213"/>
        <v>2.964132731686449</v>
      </c>
      <c r="T778" s="219">
        <f t="shared" si="214"/>
        <v>31.043895341904893</v>
      </c>
      <c r="U778" s="219">
        <f t="shared" si="215"/>
        <v>0.12830900926928338</v>
      </c>
      <c r="V778" s="188">
        <f t="shared" si="216"/>
        <v>4818026476295368</v>
      </c>
      <c r="W778" s="323">
        <v>4.2099999999999999E-2</v>
      </c>
      <c r="X778" s="323">
        <v>3.78E-2</v>
      </c>
      <c r="Y778" s="323">
        <v>2.1899999999999999E-2</v>
      </c>
      <c r="Z778" s="323">
        <v>8.5104977192037197E-3</v>
      </c>
      <c r="AA778" s="323">
        <v>7.1000000000000005</v>
      </c>
      <c r="AB778" s="323">
        <v>6.8</v>
      </c>
      <c r="AC778" s="323">
        <v>5.3</v>
      </c>
      <c r="AD778" s="323">
        <v>2.6186146828319101</v>
      </c>
      <c r="AE778" s="323">
        <v>0</v>
      </c>
      <c r="AF778" s="323">
        <v>0</v>
      </c>
      <c r="AG778" s="323">
        <v>0.3</v>
      </c>
      <c r="AH778" s="323">
        <v>5.80485581745699</v>
      </c>
      <c r="AI778" s="323">
        <v>1</v>
      </c>
      <c r="AJ778" s="323">
        <v>1</v>
      </c>
      <c r="AK778" s="323">
        <v>5.4</v>
      </c>
      <c r="AL778" s="323">
        <v>60.795299260925603</v>
      </c>
      <c r="AM778" s="323">
        <v>0.23319999999999999</v>
      </c>
      <c r="AN778" s="323">
        <v>0.23760000000000001</v>
      </c>
      <c r="AO778" s="323">
        <v>0.19600000000000001</v>
      </c>
      <c r="AP778" s="323">
        <v>0.16650000000000001</v>
      </c>
      <c r="AQ778" s="323">
        <v>0.28216000000000002</v>
      </c>
      <c r="AR778" s="323">
        <v>0.28655999999999998</v>
      </c>
      <c r="AS778" s="323">
        <v>0.26183499999999998</v>
      </c>
      <c r="AT778" s="323">
        <v>0.25127596039370959</v>
      </c>
      <c r="AU778" s="190">
        <v>1533965871360201.5</v>
      </c>
      <c r="AV778" s="190">
        <v>1963063588908422.8</v>
      </c>
      <c r="AW778" s="190">
        <v>1.1107205465653522E+16</v>
      </c>
      <c r="AX778" s="190">
        <v>9435457704241386</v>
      </c>
      <c r="AY778" s="203">
        <v>0.1</v>
      </c>
      <c r="BB778" s="204">
        <v>41556</v>
      </c>
      <c r="BC778" s="203" t="s">
        <v>3233</v>
      </c>
    </row>
    <row r="779" spans="1:55" x14ac:dyDescent="0.2">
      <c r="A779" s="184" t="s">
        <v>2816</v>
      </c>
      <c r="B779" s="184" t="s">
        <v>2815</v>
      </c>
      <c r="C779" s="184" t="s">
        <v>723</v>
      </c>
      <c r="D779" s="185" t="s">
        <v>2692</v>
      </c>
      <c r="E779" s="184" t="s">
        <v>2816</v>
      </c>
      <c r="F779" s="184" t="s">
        <v>2816</v>
      </c>
      <c r="G779" s="186">
        <f>IF(ALECA_Input!$F$13="ICAO (3000ft)",'Aircraft Calc'!C$216,'Aircraft Calc'!G$216)</f>
        <v>0.5</v>
      </c>
      <c r="H779" s="186">
        <f>IF(ALECA_Input!$F$13="ICAO (3000ft)",'Aircraft Calc'!D$216,'Aircraft Calc'!H$216)</f>
        <v>2.5</v>
      </c>
      <c r="I779" s="186">
        <f>IF(ALECA_Input!$F$13="ICAO (3000ft)",'Aircraft Calc'!E$216,'Aircraft Calc'!I$216)</f>
        <v>4.5</v>
      </c>
      <c r="J779" s="189">
        <v>1</v>
      </c>
      <c r="K779" s="187">
        <f t="shared" si="205"/>
        <v>14.997</v>
      </c>
      <c r="L779" s="187">
        <f t="shared" si="206"/>
        <v>9.3957600000000002E-2</v>
      </c>
      <c r="M779" s="187">
        <f t="shared" si="207"/>
        <v>2.0249999999999999E-3</v>
      </c>
      <c r="N779" s="187">
        <f t="shared" si="208"/>
        <v>4.1997E-2</v>
      </c>
      <c r="O779" s="187">
        <f t="shared" si="209"/>
        <v>5.4350633699999998E-3</v>
      </c>
      <c r="P779" s="188">
        <f t="shared" si="210"/>
        <v>2.062746E+17</v>
      </c>
      <c r="Q779" s="187">
        <f t="shared" si="211"/>
        <v>542.05323934620606</v>
      </c>
      <c r="R779" s="219">
        <f t="shared" si="212"/>
        <v>1.4904000000000059</v>
      </c>
      <c r="S779" s="219">
        <f t="shared" si="213"/>
        <v>2.097693933193487</v>
      </c>
      <c r="T779" s="219">
        <f t="shared" si="214"/>
        <v>27.560218787480697</v>
      </c>
      <c r="U779" s="219">
        <f t="shared" si="215"/>
        <v>0.12810740279929878</v>
      </c>
      <c r="V779" s="188">
        <f t="shared" si="216"/>
        <v>1.4418616166609082E+16</v>
      </c>
      <c r="W779" s="323">
        <v>5.04E-2</v>
      </c>
      <c r="X779" s="323">
        <v>4.4900000000000002E-2</v>
      </c>
      <c r="Y779" s="323">
        <v>2.5000000000000001E-2</v>
      </c>
      <c r="Z779" s="323">
        <v>9.0342206557701005E-3</v>
      </c>
      <c r="AA779" s="323">
        <v>7.3</v>
      </c>
      <c r="AB779" s="323">
        <v>7</v>
      </c>
      <c r="AC779" s="323">
        <v>5.3</v>
      </c>
      <c r="AD779" s="323">
        <v>2.7495454169735098</v>
      </c>
      <c r="AE779" s="323">
        <v>0</v>
      </c>
      <c r="AF779" s="323">
        <v>0</v>
      </c>
      <c r="AG779" s="323">
        <v>0.3</v>
      </c>
      <c r="AH779" s="323">
        <v>3.86990387830466</v>
      </c>
      <c r="AI779" s="323">
        <v>1</v>
      </c>
      <c r="AJ779" s="323">
        <v>1</v>
      </c>
      <c r="AK779" s="323">
        <v>5</v>
      </c>
      <c r="AL779" s="323">
        <v>50.8441178595709</v>
      </c>
      <c r="AM779" s="323">
        <v>0.23649999999999999</v>
      </c>
      <c r="AN779" s="323">
        <v>0.28560000000000002</v>
      </c>
      <c r="AO779" s="323">
        <v>0.34160000000000001</v>
      </c>
      <c r="AP779" s="323">
        <v>0.16350000000000001</v>
      </c>
      <c r="AQ779" s="323">
        <v>0.28545999999999999</v>
      </c>
      <c r="AR779" s="323">
        <v>0.33456000000000002</v>
      </c>
      <c r="AS779" s="323">
        <v>0.40743499999999999</v>
      </c>
      <c r="AT779" s="323">
        <v>0.23633730692913979</v>
      </c>
      <c r="AU779" s="190">
        <v>5250000000000000</v>
      </c>
      <c r="AV779" s="190">
        <v>7560000000000000</v>
      </c>
      <c r="AW779" s="190">
        <v>2.184E+16</v>
      </c>
      <c r="AX779" s="190">
        <v>2.66E+16</v>
      </c>
      <c r="AY779" s="203">
        <v>0.1</v>
      </c>
      <c r="BB779" s="204">
        <v>37446</v>
      </c>
      <c r="BC779" s="203" t="s">
        <v>3234</v>
      </c>
    </row>
    <row r="780" spans="1:55" x14ac:dyDescent="0.2">
      <c r="A780" s="184" t="s">
        <v>2818</v>
      </c>
      <c r="B780" s="184" t="s">
        <v>2817</v>
      </c>
      <c r="C780" s="184" t="s">
        <v>723</v>
      </c>
      <c r="D780" s="185" t="s">
        <v>2692</v>
      </c>
      <c r="E780" s="184" t="s">
        <v>2818</v>
      </c>
      <c r="F780" s="184" t="s">
        <v>2818</v>
      </c>
      <c r="G780" s="186">
        <f>IF(ALECA_Input!$F$13="ICAO (3000ft)",'Aircraft Calc'!C$216,'Aircraft Calc'!G$216)</f>
        <v>0.5</v>
      </c>
      <c r="H780" s="186">
        <f>IF(ALECA_Input!$F$13="ICAO (3000ft)",'Aircraft Calc'!D$216,'Aircraft Calc'!H$216)</f>
        <v>2.5</v>
      </c>
      <c r="I780" s="186">
        <f>IF(ALECA_Input!$F$13="ICAO (3000ft)",'Aircraft Calc'!E$216,'Aircraft Calc'!I$216)</f>
        <v>4.5</v>
      </c>
      <c r="J780" s="189">
        <v>1</v>
      </c>
      <c r="K780" s="187">
        <f t="shared" si="205"/>
        <v>16.536000000000001</v>
      </c>
      <c r="L780" s="187">
        <f t="shared" si="206"/>
        <v>0.1057128</v>
      </c>
      <c r="M780" s="187">
        <f t="shared" si="207"/>
        <v>7.6139999999999997E-4</v>
      </c>
      <c r="N780" s="187">
        <f t="shared" si="208"/>
        <v>3.4048199999999994E-2</v>
      </c>
      <c r="O780" s="187">
        <f t="shared" si="209"/>
        <v>4.8859721099999993E-3</v>
      </c>
      <c r="P780" s="188">
        <f t="shared" si="210"/>
        <v>1.1102311594710115E+17</v>
      </c>
      <c r="Q780" s="187">
        <f t="shared" si="211"/>
        <v>600.97206970992602</v>
      </c>
      <c r="R780" s="219">
        <f t="shared" si="212"/>
        <v>1.4950285714285831</v>
      </c>
      <c r="S780" s="219">
        <f t="shared" si="213"/>
        <v>4.3191648376002796</v>
      </c>
      <c r="T780" s="219">
        <f t="shared" si="214"/>
        <v>41.18768511211934</v>
      </c>
      <c r="U780" s="219">
        <f t="shared" si="215"/>
        <v>0.15883906350138907</v>
      </c>
      <c r="V780" s="188">
        <f t="shared" si="216"/>
        <v>5823701857210261</v>
      </c>
      <c r="W780" s="323">
        <v>5.4399999999999997E-2</v>
      </c>
      <c r="X780" s="323">
        <v>4.8599999999999997E-2</v>
      </c>
      <c r="Y780" s="323">
        <v>2.8199999999999999E-2</v>
      </c>
      <c r="Z780" s="323">
        <v>1.00162011618321E-2</v>
      </c>
      <c r="AA780" s="323">
        <v>7.4</v>
      </c>
      <c r="AB780" s="323">
        <v>7.1000000000000005</v>
      </c>
      <c r="AC780" s="323">
        <v>5.5</v>
      </c>
      <c r="AD780" s="323">
        <v>2.4876839486903202</v>
      </c>
      <c r="AE780" s="323">
        <v>0</v>
      </c>
      <c r="AF780" s="323">
        <v>0</v>
      </c>
      <c r="AG780" s="323">
        <v>0.1</v>
      </c>
      <c r="AH780" s="323">
        <v>7.1869643454229601</v>
      </c>
      <c r="AI780" s="323">
        <v>1</v>
      </c>
      <c r="AJ780" s="323">
        <v>1</v>
      </c>
      <c r="AK780" s="323">
        <v>3.3000000000000003</v>
      </c>
      <c r="AL780" s="323">
        <v>68.535107017535097</v>
      </c>
      <c r="AM780" s="323">
        <v>0.26729999999999998</v>
      </c>
      <c r="AN780" s="323">
        <v>0.2712</v>
      </c>
      <c r="AO780" s="323">
        <v>0.21279999999999999</v>
      </c>
      <c r="AP780" s="323">
        <v>0.17100000000000001</v>
      </c>
      <c r="AQ780" s="323">
        <v>0.31625999999999999</v>
      </c>
      <c r="AR780" s="323">
        <v>0.32016</v>
      </c>
      <c r="AS780" s="323">
        <v>0.26738499999999998</v>
      </c>
      <c r="AT780" s="323">
        <v>0.2643035700112597</v>
      </c>
      <c r="AU780" s="190">
        <v>1758272201606268.5</v>
      </c>
      <c r="AV780" s="190">
        <v>2240668540875270.5</v>
      </c>
      <c r="AW780" s="190">
        <v>1.2059251648423826E+16</v>
      </c>
      <c r="AX780" s="190">
        <v>9690470074626288</v>
      </c>
      <c r="AY780" s="203">
        <v>0.1</v>
      </c>
      <c r="BB780" s="204">
        <v>41556</v>
      </c>
      <c r="BC780" s="203" t="s">
        <v>3233</v>
      </c>
    </row>
    <row r="781" spans="1:55" x14ac:dyDescent="0.2">
      <c r="A781" s="184" t="s">
        <v>2820</v>
      </c>
      <c r="B781" s="184" t="s">
        <v>2819</v>
      </c>
      <c r="C781" s="184" t="s">
        <v>723</v>
      </c>
      <c r="D781" s="185" t="s">
        <v>2692</v>
      </c>
      <c r="E781" s="184" t="s">
        <v>2820</v>
      </c>
      <c r="F781" s="184" t="s">
        <v>2820</v>
      </c>
      <c r="G781" s="186">
        <f>IF(ALECA_Input!$F$13="ICAO (3000ft)",'Aircraft Calc'!C$216,'Aircraft Calc'!G$216)</f>
        <v>0.5</v>
      </c>
      <c r="H781" s="186">
        <f>IF(ALECA_Input!$F$13="ICAO (3000ft)",'Aircraft Calc'!D$216,'Aircraft Calc'!H$216)</f>
        <v>2.5</v>
      </c>
      <c r="I781" s="186">
        <f>IF(ALECA_Input!$F$13="ICAO (3000ft)",'Aircraft Calc'!E$216,'Aircraft Calc'!I$216)</f>
        <v>4.5</v>
      </c>
      <c r="J781" s="189">
        <v>1</v>
      </c>
      <c r="K781" s="187">
        <f t="shared" si="205"/>
        <v>14.427</v>
      </c>
      <c r="L781" s="187">
        <f t="shared" si="206"/>
        <v>9.334350000000001E-2</v>
      </c>
      <c r="M781" s="187">
        <f t="shared" si="207"/>
        <v>1.2906000000000003E-3</v>
      </c>
      <c r="N781" s="187">
        <f t="shared" si="208"/>
        <v>3.2495400000000001E-2</v>
      </c>
      <c r="O781" s="187">
        <f t="shared" si="209"/>
        <v>4.1786189699999999E-3</v>
      </c>
      <c r="P781" s="188">
        <f t="shared" si="210"/>
        <v>9.2180000265685968E+16</v>
      </c>
      <c r="Q781" s="187">
        <f t="shared" si="211"/>
        <v>542.05323934620606</v>
      </c>
      <c r="R781" s="219">
        <f t="shared" si="212"/>
        <v>1.4904000000000059</v>
      </c>
      <c r="S781" s="219">
        <f t="shared" si="213"/>
        <v>2.097693933193487</v>
      </c>
      <c r="T781" s="219">
        <f t="shared" si="214"/>
        <v>27.110712944653503</v>
      </c>
      <c r="U781" s="219">
        <f t="shared" si="215"/>
        <v>0.13135972223537601</v>
      </c>
      <c r="V781" s="188">
        <f t="shared" si="216"/>
        <v>5206673934258487</v>
      </c>
      <c r="W781" s="323">
        <v>4.8800000000000003E-2</v>
      </c>
      <c r="X781" s="323">
        <v>4.3400000000000001E-2</v>
      </c>
      <c r="Y781" s="323">
        <v>2.3900000000000001E-2</v>
      </c>
      <c r="Z781" s="323">
        <v>9.0342206557701005E-3</v>
      </c>
      <c r="AA781" s="323">
        <v>7.5</v>
      </c>
      <c r="AB781" s="323">
        <v>7.2</v>
      </c>
      <c r="AC781" s="323">
        <v>5.5</v>
      </c>
      <c r="AD781" s="323">
        <v>2.7495454169735098</v>
      </c>
      <c r="AE781" s="323">
        <v>0</v>
      </c>
      <c r="AF781" s="323">
        <v>0</v>
      </c>
      <c r="AG781" s="323">
        <v>0.2</v>
      </c>
      <c r="AH781" s="323">
        <v>3.86990387830466</v>
      </c>
      <c r="AI781" s="323">
        <v>1</v>
      </c>
      <c r="AJ781" s="323">
        <v>1</v>
      </c>
      <c r="AK781" s="323">
        <v>3.8000000000000003</v>
      </c>
      <c r="AL781" s="323">
        <v>50.014852742791298</v>
      </c>
      <c r="AM781" s="323">
        <v>0.25629999999999997</v>
      </c>
      <c r="AN781" s="323">
        <v>0.25919999999999999</v>
      </c>
      <c r="AO781" s="323">
        <v>0.2072</v>
      </c>
      <c r="AP781" s="323">
        <v>0.16950000000000001</v>
      </c>
      <c r="AQ781" s="323">
        <v>0.30525999999999998</v>
      </c>
      <c r="AR781" s="323">
        <v>0.30815999999999999</v>
      </c>
      <c r="AS781" s="323">
        <v>0.26740999999999998</v>
      </c>
      <c r="AT781" s="323">
        <v>0.2423373069291398</v>
      </c>
      <c r="AU781" s="190">
        <v>1685915320881730.8</v>
      </c>
      <c r="AV781" s="190">
        <v>2141523915172824.8</v>
      </c>
      <c r="AW781" s="190">
        <v>1.1741902920833724E+16</v>
      </c>
      <c r="AX781" s="190">
        <v>9605465951164654</v>
      </c>
      <c r="AY781" s="203">
        <v>0.1</v>
      </c>
      <c r="BB781" s="204">
        <v>37446</v>
      </c>
      <c r="BC781" s="203" t="s">
        <v>3227</v>
      </c>
    </row>
    <row r="782" spans="1:55" x14ac:dyDescent="0.2">
      <c r="A782" s="184" t="s">
        <v>2822</v>
      </c>
      <c r="B782" s="184" t="s">
        <v>2821</v>
      </c>
      <c r="C782" s="184" t="s">
        <v>723</v>
      </c>
      <c r="D782" s="185" t="s">
        <v>2692</v>
      </c>
      <c r="E782" s="184" t="s">
        <v>2822</v>
      </c>
      <c r="F782" s="184" t="s">
        <v>2822</v>
      </c>
      <c r="G782" s="186">
        <f>IF(ALECA_Input!$F$13="ICAO (3000ft)",'Aircraft Calc'!C$216,'Aircraft Calc'!G$216)</f>
        <v>0.5</v>
      </c>
      <c r="H782" s="186">
        <f>IF(ALECA_Input!$F$13="ICAO (3000ft)",'Aircraft Calc'!D$216,'Aircraft Calc'!H$216)</f>
        <v>2.5</v>
      </c>
      <c r="I782" s="186">
        <f>IF(ALECA_Input!$F$13="ICAO (3000ft)",'Aircraft Calc'!E$216,'Aircraft Calc'!I$216)</f>
        <v>4.5</v>
      </c>
      <c r="J782" s="189">
        <v>1</v>
      </c>
      <c r="K782" s="187">
        <f t="shared" si="205"/>
        <v>17.064</v>
      </c>
      <c r="L782" s="187">
        <f t="shared" si="206"/>
        <v>0.11167289999999999</v>
      </c>
      <c r="M782" s="187">
        <f t="shared" si="207"/>
        <v>0</v>
      </c>
      <c r="N782" s="187">
        <f t="shared" si="208"/>
        <v>3.0297299999999999E-2</v>
      </c>
      <c r="O782" s="187">
        <f t="shared" si="209"/>
        <v>5.1633650400000003E-3</v>
      </c>
      <c r="P782" s="188">
        <f t="shared" si="210"/>
        <v>1.1830453843706542E+17</v>
      </c>
      <c r="Q782" s="187">
        <f t="shared" si="211"/>
        <v>667.74674412213596</v>
      </c>
      <c r="R782" s="219">
        <f t="shared" si="212"/>
        <v>1.7048571428571404</v>
      </c>
      <c r="S782" s="219">
        <f t="shared" si="213"/>
        <v>2.9532751026326505</v>
      </c>
      <c r="T782" s="219">
        <f t="shared" si="214"/>
        <v>38.492821580966663</v>
      </c>
      <c r="U782" s="219">
        <f t="shared" si="215"/>
        <v>0.1650992812203485</v>
      </c>
      <c r="V782" s="188">
        <f t="shared" si="216"/>
        <v>6470779841344696</v>
      </c>
      <c r="W782" s="323">
        <v>5.6500000000000002E-2</v>
      </c>
      <c r="X782" s="323">
        <v>4.99E-2</v>
      </c>
      <c r="Y782" s="323">
        <v>2.92E-2</v>
      </c>
      <c r="Z782" s="323">
        <v>1.1129112402035599E-2</v>
      </c>
      <c r="AA782" s="323">
        <v>7.6000000000000005</v>
      </c>
      <c r="AB782" s="323">
        <v>7.3</v>
      </c>
      <c r="AC782" s="323">
        <v>5.6000000000000005</v>
      </c>
      <c r="AD782" s="323">
        <v>2.55314931576111</v>
      </c>
      <c r="AE782" s="323">
        <v>0</v>
      </c>
      <c r="AF782" s="323">
        <v>0</v>
      </c>
      <c r="AG782" s="323">
        <v>0</v>
      </c>
      <c r="AH782" s="323">
        <v>4.42274728949105</v>
      </c>
      <c r="AI782" s="323">
        <v>0.9</v>
      </c>
      <c r="AJ782" s="323">
        <v>1</v>
      </c>
      <c r="AK782" s="323">
        <v>2.7</v>
      </c>
      <c r="AL782" s="323">
        <v>57.6458394141208</v>
      </c>
      <c r="AM782" s="323">
        <v>0.28160000000000002</v>
      </c>
      <c r="AN782" s="323">
        <v>0.28439999999999999</v>
      </c>
      <c r="AO782" s="323">
        <v>0.21840000000000001</v>
      </c>
      <c r="AP782" s="323">
        <v>0.17100000000000001</v>
      </c>
      <c r="AQ782" s="323">
        <v>0.33056000000000002</v>
      </c>
      <c r="AR782" s="323">
        <v>0.33335999999999999</v>
      </c>
      <c r="AS782" s="323">
        <v>0.26735999999999999</v>
      </c>
      <c r="AT782" s="323">
        <v>0.24724835077615981</v>
      </c>
      <c r="AU782" s="190">
        <v>1852336146548167.5</v>
      </c>
      <c r="AV782" s="190">
        <v>2349727629147961</v>
      </c>
      <c r="AW782" s="190">
        <v>1.2376600376013926E+16</v>
      </c>
      <c r="AX782" s="190">
        <v>9690470074626288</v>
      </c>
      <c r="AY782" s="203">
        <v>0.1</v>
      </c>
      <c r="BB782" s="204">
        <v>37446</v>
      </c>
      <c r="BC782" s="203" t="s">
        <v>3227</v>
      </c>
    </row>
    <row r="783" spans="1:55" x14ac:dyDescent="0.2">
      <c r="A783" s="184" t="s">
        <v>2824</v>
      </c>
      <c r="B783" s="184" t="s">
        <v>2823</v>
      </c>
      <c r="C783" s="184" t="s">
        <v>723</v>
      </c>
      <c r="D783" s="185" t="s">
        <v>2692</v>
      </c>
      <c r="E783" s="184" t="s">
        <v>2824</v>
      </c>
      <c r="F783" s="184" t="s">
        <v>2824</v>
      </c>
      <c r="G783" s="186">
        <f>IF(ALECA_Input!$F$13="ICAO (3000ft)",'Aircraft Calc'!C$216,'Aircraft Calc'!G$216)</f>
        <v>0.5</v>
      </c>
      <c r="H783" s="186">
        <f>IF(ALECA_Input!$F$13="ICAO (3000ft)",'Aircraft Calc'!D$216,'Aircraft Calc'!H$216)</f>
        <v>2.5</v>
      </c>
      <c r="I783" s="186">
        <f>IF(ALECA_Input!$F$13="ICAO (3000ft)",'Aircraft Calc'!E$216,'Aircraft Calc'!I$216)</f>
        <v>4.5</v>
      </c>
      <c r="J783" s="189">
        <v>1</v>
      </c>
      <c r="K783" s="187">
        <f t="shared" si="205"/>
        <v>14.984999999999999</v>
      </c>
      <c r="L783" s="187">
        <f t="shared" si="206"/>
        <v>9.8608499999999988E-2</v>
      </c>
      <c r="M783" s="187">
        <f t="shared" si="207"/>
        <v>1.3230000000000002E-3</v>
      </c>
      <c r="N783" s="187">
        <f t="shared" si="208"/>
        <v>3.2691000000000005E-2</v>
      </c>
      <c r="O783" s="187">
        <f t="shared" si="209"/>
        <v>5.3823808500000009E-3</v>
      </c>
      <c r="P783" s="188">
        <f t="shared" si="210"/>
        <v>2.0417985E+17</v>
      </c>
      <c r="Q783" s="187">
        <f t="shared" si="211"/>
        <v>565.6207714916934</v>
      </c>
      <c r="R783" s="219">
        <f t="shared" si="212"/>
        <v>1.5922285714285793</v>
      </c>
      <c r="S783" s="219">
        <f t="shared" si="213"/>
        <v>1.8761983004960328</v>
      </c>
      <c r="T783" s="219">
        <f t="shared" si="214"/>
        <v>26.351689827714537</v>
      </c>
      <c r="U783" s="219">
        <f t="shared" si="215"/>
        <v>0.13174793262518569</v>
      </c>
      <c r="V783" s="188">
        <f t="shared" si="216"/>
        <v>1.5045512521679046E+16</v>
      </c>
      <c r="W783" s="323">
        <v>5.1499999999999997E-2</v>
      </c>
      <c r="X783" s="323">
        <v>4.5499999999999999E-2</v>
      </c>
      <c r="Y783" s="323">
        <v>2.4500000000000001E-2</v>
      </c>
      <c r="Z783" s="323">
        <v>9.4270128581948904E-3</v>
      </c>
      <c r="AA783" s="323">
        <v>7.6000000000000005</v>
      </c>
      <c r="AB783" s="323">
        <v>7.3</v>
      </c>
      <c r="AC783" s="323">
        <v>5.6000000000000005</v>
      </c>
      <c r="AD783" s="323">
        <v>2.8150107840443099</v>
      </c>
      <c r="AE783" s="323">
        <v>0</v>
      </c>
      <c r="AF783" s="323">
        <v>0</v>
      </c>
      <c r="AG783" s="323">
        <v>0.2</v>
      </c>
      <c r="AH783" s="323">
        <v>3.31706046711827</v>
      </c>
      <c r="AI783" s="323">
        <v>0.9</v>
      </c>
      <c r="AJ783" s="323">
        <v>1</v>
      </c>
      <c r="AK783" s="323">
        <v>3.7</v>
      </c>
      <c r="AL783" s="323">
        <v>46.588971190393302</v>
      </c>
      <c r="AM783" s="323">
        <v>0.23649999999999999</v>
      </c>
      <c r="AN783" s="323">
        <v>0.28560000000000002</v>
      </c>
      <c r="AO783" s="323">
        <v>0.34160000000000001</v>
      </c>
      <c r="AP783" s="323">
        <v>0.16350000000000001</v>
      </c>
      <c r="AQ783" s="323">
        <v>0.28545999999999999</v>
      </c>
      <c r="AR783" s="323">
        <v>0.33456000000000002</v>
      </c>
      <c r="AS783" s="323">
        <v>0.40181</v>
      </c>
      <c r="AT783" s="323">
        <v>0.23292626308211969</v>
      </c>
      <c r="AU783" s="190">
        <v>5250000000000000</v>
      </c>
      <c r="AV783" s="190">
        <v>7560000000000000</v>
      </c>
      <c r="AW783" s="190">
        <v>2.184E+16</v>
      </c>
      <c r="AX783" s="190">
        <v>2.66E+16</v>
      </c>
      <c r="AY783" s="203">
        <v>0.1</v>
      </c>
      <c r="BB783" s="204">
        <v>37446</v>
      </c>
      <c r="BC783" s="203" t="s">
        <v>3234</v>
      </c>
    </row>
    <row r="784" spans="1:55" x14ac:dyDescent="0.2">
      <c r="A784" s="184" t="s">
        <v>2826</v>
      </c>
      <c r="B784" s="184" t="s">
        <v>2825</v>
      </c>
      <c r="C784" s="184" t="s">
        <v>723</v>
      </c>
      <c r="D784" s="185" t="s">
        <v>2692</v>
      </c>
      <c r="E784" s="184" t="s">
        <v>2826</v>
      </c>
      <c r="F784" s="184" t="s">
        <v>2826</v>
      </c>
      <c r="G784" s="186">
        <f>IF(ALECA_Input!$F$13="ICAO (3000ft)",'Aircraft Calc'!C$216,'Aircraft Calc'!G$216)</f>
        <v>0.5</v>
      </c>
      <c r="H784" s="186">
        <f>IF(ALECA_Input!$F$13="ICAO (3000ft)",'Aircraft Calc'!D$216,'Aircraft Calc'!H$216)</f>
        <v>2.5</v>
      </c>
      <c r="I784" s="186">
        <f>IF(ALECA_Input!$F$13="ICAO (3000ft)",'Aircraft Calc'!E$216,'Aircraft Calc'!I$216)</f>
        <v>4.5</v>
      </c>
      <c r="J784" s="189">
        <v>1</v>
      </c>
      <c r="K784" s="187">
        <f t="shared" si="205"/>
        <v>14.364000000000001</v>
      </c>
      <c r="L784" s="187">
        <f t="shared" si="206"/>
        <v>8.9658900000000014E-2</v>
      </c>
      <c r="M784" s="187">
        <f t="shared" si="207"/>
        <v>1.3176000000000004E-3</v>
      </c>
      <c r="N784" s="187">
        <f t="shared" si="208"/>
        <v>3.2127300000000004E-2</v>
      </c>
      <c r="O784" s="187">
        <f t="shared" si="209"/>
        <v>4.0126541399999995E-3</v>
      </c>
      <c r="P784" s="188">
        <f t="shared" si="210"/>
        <v>8.9989479851039248E+16</v>
      </c>
      <c r="Q784" s="187">
        <f t="shared" si="211"/>
        <v>585.26038161293286</v>
      </c>
      <c r="R784" s="219">
        <f t="shared" si="212"/>
        <v>1.57088571428572</v>
      </c>
      <c r="S784" s="219">
        <f t="shared" si="213"/>
        <v>2.103122747720386</v>
      </c>
      <c r="T784" s="219">
        <f t="shared" si="214"/>
        <v>29.757047821265399</v>
      </c>
      <c r="U784" s="219">
        <f t="shared" si="215"/>
        <v>0.13995435974817669</v>
      </c>
      <c r="V784" s="188">
        <f t="shared" si="216"/>
        <v>5571949122412829</v>
      </c>
      <c r="W784" s="323">
        <v>4.7699999999999999E-2</v>
      </c>
      <c r="X784" s="323">
        <v>4.2299999999999997E-2</v>
      </c>
      <c r="Y784" s="323">
        <v>2.4400000000000002E-2</v>
      </c>
      <c r="Z784" s="323">
        <v>9.7543396935488805E-3</v>
      </c>
      <c r="AA784" s="323">
        <v>7.2</v>
      </c>
      <c r="AB784" s="323">
        <v>6.9</v>
      </c>
      <c r="AC784" s="323">
        <v>5.4</v>
      </c>
      <c r="AD784" s="323">
        <v>2.6840800499027102</v>
      </c>
      <c r="AE784" s="323">
        <v>0</v>
      </c>
      <c r="AF784" s="323">
        <v>0</v>
      </c>
      <c r="AG784" s="323">
        <v>0.2</v>
      </c>
      <c r="AH784" s="323">
        <v>3.5934821727114699</v>
      </c>
      <c r="AI784" s="323">
        <v>1</v>
      </c>
      <c r="AJ784" s="323">
        <v>1.1000000000000001</v>
      </c>
      <c r="AK784" s="323">
        <v>3.6</v>
      </c>
      <c r="AL784" s="323">
        <v>50.8441178595709</v>
      </c>
      <c r="AM784" s="323">
        <v>0.24310000000000001</v>
      </c>
      <c r="AN784" s="323">
        <v>0.2472</v>
      </c>
      <c r="AO784" s="323">
        <v>0.20019999999999999</v>
      </c>
      <c r="AP784" s="323">
        <v>0.16800000000000001</v>
      </c>
      <c r="AQ784" s="323">
        <v>0.29205999999999999</v>
      </c>
      <c r="AR784" s="323">
        <v>0.29615999999999998</v>
      </c>
      <c r="AS784" s="323">
        <v>0.26040999999999997</v>
      </c>
      <c r="AT784" s="323">
        <v>0.23913178500562979</v>
      </c>
      <c r="AU784" s="190">
        <v>1599087064012285.5</v>
      </c>
      <c r="AV784" s="190">
        <v>2042379289470379.3</v>
      </c>
      <c r="AW784" s="190">
        <v>1.1345217011346098E+16</v>
      </c>
      <c r="AX784" s="190">
        <v>9520461827703020</v>
      </c>
      <c r="AY784" s="203">
        <v>0.1</v>
      </c>
      <c r="BB784" s="204">
        <v>37446</v>
      </c>
      <c r="BC784" s="203" t="s">
        <v>3233</v>
      </c>
    </row>
    <row r="785" spans="1:55" x14ac:dyDescent="0.2">
      <c r="A785" s="184" t="s">
        <v>2828</v>
      </c>
      <c r="B785" s="184" t="s">
        <v>2827</v>
      </c>
      <c r="C785" s="184" t="s">
        <v>723</v>
      </c>
      <c r="D785" s="185" t="s">
        <v>2692</v>
      </c>
      <c r="E785" s="184" t="s">
        <v>2828</v>
      </c>
      <c r="F785" s="184" t="s">
        <v>2828</v>
      </c>
      <c r="G785" s="186">
        <f>IF(ALECA_Input!$F$13="ICAO (3000ft)",'Aircraft Calc'!C$216,'Aircraft Calc'!G$216)</f>
        <v>0.5</v>
      </c>
      <c r="H785" s="186">
        <f>IF(ALECA_Input!$F$13="ICAO (3000ft)",'Aircraft Calc'!D$216,'Aircraft Calc'!H$216)</f>
        <v>2.5</v>
      </c>
      <c r="I785" s="186">
        <f>IF(ALECA_Input!$F$13="ICAO (3000ft)",'Aircraft Calc'!E$216,'Aircraft Calc'!I$216)</f>
        <v>4.5</v>
      </c>
      <c r="J785" s="189">
        <v>1</v>
      </c>
      <c r="K785" s="187">
        <f t="shared" si="205"/>
        <v>13.266000000000002</v>
      </c>
      <c r="L785" s="187">
        <f t="shared" si="206"/>
        <v>8.3492400000000008E-2</v>
      </c>
      <c r="M785" s="187">
        <f t="shared" si="207"/>
        <v>1.8062999999999998E-3</v>
      </c>
      <c r="N785" s="187">
        <f t="shared" si="208"/>
        <v>3.7952100000000002E-2</v>
      </c>
      <c r="O785" s="187">
        <f t="shared" si="209"/>
        <v>4.8122413350000001E-3</v>
      </c>
      <c r="P785" s="188">
        <f t="shared" si="210"/>
        <v>1.8322164E+17</v>
      </c>
      <c r="Q785" s="187">
        <f t="shared" si="211"/>
        <v>534.19739529770993</v>
      </c>
      <c r="R785" s="219">
        <f t="shared" si="212"/>
        <v>1.433828571428575</v>
      </c>
      <c r="S785" s="219">
        <f t="shared" si="213"/>
        <v>2.5102838372377581</v>
      </c>
      <c r="T785" s="219">
        <f t="shared" si="214"/>
        <v>29.5234154088987</v>
      </c>
      <c r="U785" s="219">
        <f t="shared" si="215"/>
        <v>0.12898402988070845</v>
      </c>
      <c r="V785" s="188">
        <f t="shared" si="216"/>
        <v>1.4209650714919084E+16</v>
      </c>
      <c r="W785" s="323">
        <v>4.3999999999999997E-2</v>
      </c>
      <c r="X785" s="323">
        <v>3.95E-2</v>
      </c>
      <c r="Y785" s="323">
        <v>2.23E-2</v>
      </c>
      <c r="Z785" s="323">
        <v>8.9032899216284992E-3</v>
      </c>
      <c r="AA785" s="323">
        <v>7.2</v>
      </c>
      <c r="AB785" s="323">
        <v>7</v>
      </c>
      <c r="AC785" s="323">
        <v>5.4</v>
      </c>
      <c r="AD785" s="323">
        <v>2.6840800499027102</v>
      </c>
      <c r="AE785" s="323">
        <v>0</v>
      </c>
      <c r="AF785" s="323">
        <v>0</v>
      </c>
      <c r="AG785" s="323">
        <v>0.3</v>
      </c>
      <c r="AH785" s="323">
        <v>4.6991689950842401</v>
      </c>
      <c r="AI785" s="323">
        <v>1</v>
      </c>
      <c r="AJ785" s="323">
        <v>1</v>
      </c>
      <c r="AK785" s="323">
        <v>5.1000000000000005</v>
      </c>
      <c r="AL785" s="323">
        <v>55.266865149061999</v>
      </c>
      <c r="AM785" s="323">
        <v>0.23649999999999999</v>
      </c>
      <c r="AN785" s="323">
        <v>0.28560000000000002</v>
      </c>
      <c r="AO785" s="323">
        <v>0.34160000000000001</v>
      </c>
      <c r="AP785" s="323">
        <v>0.16350000000000001</v>
      </c>
      <c r="AQ785" s="323">
        <v>0.28545999999999999</v>
      </c>
      <c r="AR785" s="323">
        <v>0.33456000000000002</v>
      </c>
      <c r="AS785" s="323">
        <v>0.40743499999999999</v>
      </c>
      <c r="AT785" s="323">
        <v>0.24145387269966981</v>
      </c>
      <c r="AU785" s="190">
        <v>5250000000000000</v>
      </c>
      <c r="AV785" s="190">
        <v>7560000000000000</v>
      </c>
      <c r="AW785" s="190">
        <v>2.184E+16</v>
      </c>
      <c r="AX785" s="190">
        <v>2.66E+16</v>
      </c>
      <c r="AY785" s="203">
        <v>0.1</v>
      </c>
      <c r="BB785" s="204">
        <v>37446</v>
      </c>
      <c r="BC785" s="203" t="s">
        <v>3234</v>
      </c>
    </row>
    <row r="786" spans="1:55" x14ac:dyDescent="0.2">
      <c r="A786" s="184" t="s">
        <v>2830</v>
      </c>
      <c r="B786" s="184" t="s">
        <v>2829</v>
      </c>
      <c r="C786" s="184" t="s">
        <v>723</v>
      </c>
      <c r="D786" s="185" t="s">
        <v>2692</v>
      </c>
      <c r="E786" s="184" t="s">
        <v>2830</v>
      </c>
      <c r="F786" s="184" t="s">
        <v>2831</v>
      </c>
      <c r="G786" s="186">
        <f>IF(ALECA_Input!$F$13="ICAO (3000ft)",'Aircraft Calc'!C$216,'Aircraft Calc'!G$216)</f>
        <v>0.5</v>
      </c>
      <c r="H786" s="186">
        <f>IF(ALECA_Input!$F$13="ICAO (3000ft)",'Aircraft Calc'!D$216,'Aircraft Calc'!H$216)</f>
        <v>2.5</v>
      </c>
      <c r="I786" s="186">
        <f>IF(ALECA_Input!$F$13="ICAO (3000ft)",'Aircraft Calc'!E$216,'Aircraft Calc'!I$216)</f>
        <v>4.5</v>
      </c>
      <c r="J786" s="189">
        <v>1</v>
      </c>
      <c r="K786" s="187">
        <f t="shared" si="205"/>
        <v>14.2791</v>
      </c>
      <c r="L786" s="187">
        <f t="shared" si="206"/>
        <v>4.5948929999999999E-2</v>
      </c>
      <c r="M786" s="187">
        <f t="shared" si="207"/>
        <v>5.5222169999999994E-2</v>
      </c>
      <c r="N786" s="187">
        <f t="shared" si="208"/>
        <v>7.3038119999999998E-2</v>
      </c>
      <c r="O786" s="187">
        <f t="shared" si="209"/>
        <v>8.2179929759999999E-3</v>
      </c>
      <c r="P786" s="188">
        <f t="shared" si="210"/>
        <v>2.0194057349999997E+17</v>
      </c>
      <c r="Q786" s="187">
        <f t="shared" si="211"/>
        <v>758.4</v>
      </c>
      <c r="R786" s="219">
        <f t="shared" si="212"/>
        <v>0.75839999999999996</v>
      </c>
      <c r="S786" s="219">
        <f t="shared" si="213"/>
        <v>67.497599999999991</v>
      </c>
      <c r="T786" s="219">
        <f t="shared" si="214"/>
        <v>20.476799999999997</v>
      </c>
      <c r="U786" s="219">
        <f t="shared" si="215"/>
        <v>0.57758985600000001</v>
      </c>
      <c r="V786" s="188">
        <f t="shared" si="216"/>
        <v>2.017344E+16</v>
      </c>
      <c r="W786" s="323">
        <v>4.539E-2</v>
      </c>
      <c r="X786" s="323">
        <v>4.0719999999999999E-2</v>
      </c>
      <c r="Y786" s="323">
        <v>2.5219999999999999E-2</v>
      </c>
      <c r="Z786" s="323">
        <v>1.264E-2</v>
      </c>
      <c r="AA786" s="323">
        <v>4.3</v>
      </c>
      <c r="AB786" s="323">
        <v>4</v>
      </c>
      <c r="AC786" s="323">
        <v>2.2999999999999998</v>
      </c>
      <c r="AD786" s="323">
        <v>1</v>
      </c>
      <c r="AE786" s="323">
        <v>0.1</v>
      </c>
      <c r="AF786" s="323">
        <v>0.1</v>
      </c>
      <c r="AG786" s="323">
        <v>8</v>
      </c>
      <c r="AH786" s="323">
        <v>89</v>
      </c>
      <c r="AI786" s="323">
        <v>0.8</v>
      </c>
      <c r="AJ786" s="323">
        <v>1.3</v>
      </c>
      <c r="AK786" s="323">
        <v>9.4</v>
      </c>
      <c r="AL786" s="323">
        <v>27</v>
      </c>
      <c r="AM786" s="323">
        <v>0.23649999999999999</v>
      </c>
      <c r="AN786" s="323">
        <v>0.28560000000000002</v>
      </c>
      <c r="AO786" s="323">
        <v>0.34160000000000001</v>
      </c>
      <c r="AP786" s="323">
        <v>0.16350000000000001</v>
      </c>
      <c r="AQ786" s="323">
        <v>0.29696</v>
      </c>
      <c r="AR786" s="323">
        <v>0.34216000000000002</v>
      </c>
      <c r="AS786" s="323">
        <v>0.84055999999999997</v>
      </c>
      <c r="AT786" s="323">
        <v>0.76158999999999999</v>
      </c>
      <c r="AU786" s="190">
        <v>5175000000000000</v>
      </c>
      <c r="AV786" s="190">
        <v>7560000000000000</v>
      </c>
      <c r="AW786" s="190">
        <v>2.184E+16</v>
      </c>
      <c r="AX786" s="190">
        <v>2.66E+16</v>
      </c>
      <c r="AY786" s="203">
        <v>0.1</v>
      </c>
      <c r="BA786" s="203">
        <v>2008</v>
      </c>
      <c r="BB786" s="204">
        <v>41730</v>
      </c>
      <c r="BC786" s="203" t="s">
        <v>3235</v>
      </c>
    </row>
    <row r="787" spans="1:55" x14ac:dyDescent="0.2">
      <c r="A787" s="184" t="s">
        <v>2833</v>
      </c>
      <c r="B787" s="184" t="s">
        <v>2832</v>
      </c>
      <c r="C787" s="184" t="s">
        <v>723</v>
      </c>
      <c r="D787" s="185" t="s">
        <v>2692</v>
      </c>
      <c r="E787" s="184" t="s">
        <v>2833</v>
      </c>
      <c r="F787" s="184" t="s">
        <v>2833</v>
      </c>
      <c r="G787" s="186">
        <f>IF(ALECA_Input!$F$13="ICAO (3000ft)",'Aircraft Calc'!C$216,'Aircraft Calc'!G$216)</f>
        <v>0.5</v>
      </c>
      <c r="H787" s="186">
        <f>IF(ALECA_Input!$F$13="ICAO (3000ft)",'Aircraft Calc'!D$216,'Aircraft Calc'!H$216)</f>
        <v>2.5</v>
      </c>
      <c r="I787" s="186">
        <f>IF(ALECA_Input!$F$13="ICAO (3000ft)",'Aircraft Calc'!E$216,'Aircraft Calc'!I$216)</f>
        <v>4.5</v>
      </c>
      <c r="J787" s="189">
        <v>1</v>
      </c>
      <c r="K787" s="187">
        <f t="shared" si="205"/>
        <v>17.259</v>
      </c>
      <c r="L787" s="187">
        <f t="shared" si="206"/>
        <v>0.11318250000000001</v>
      </c>
      <c r="M787" s="187">
        <f t="shared" si="207"/>
        <v>0</v>
      </c>
      <c r="N787" s="187">
        <f t="shared" si="208"/>
        <v>2.9788200000000001E-2</v>
      </c>
      <c r="O787" s="187">
        <f t="shared" si="209"/>
        <v>5.22474744E-3</v>
      </c>
      <c r="P787" s="188">
        <f t="shared" si="210"/>
        <v>1.1929374123194544E+17</v>
      </c>
      <c r="Q787" s="187">
        <f t="shared" si="211"/>
        <v>655.96297804939195</v>
      </c>
      <c r="R787" s="219">
        <f t="shared" si="212"/>
        <v>1.6747714285714252</v>
      </c>
      <c r="S787" s="219">
        <f t="shared" si="213"/>
        <v>3.0824808883728267</v>
      </c>
      <c r="T787" s="219">
        <f t="shared" si="214"/>
        <v>39.082793330632612</v>
      </c>
      <c r="U787" s="219">
        <f t="shared" si="215"/>
        <v>0.16330452373300461</v>
      </c>
      <c r="V787" s="188">
        <f t="shared" si="216"/>
        <v>6356589608850373</v>
      </c>
      <c r="W787" s="323">
        <v>5.7200000000000001E-2</v>
      </c>
      <c r="X787" s="323">
        <v>5.0700000000000002E-2</v>
      </c>
      <c r="Y787" s="323">
        <v>2.9399999999999999E-2</v>
      </c>
      <c r="Z787" s="323">
        <v>1.09327163008232E-2</v>
      </c>
      <c r="AA787" s="323">
        <v>7.7</v>
      </c>
      <c r="AB787" s="323">
        <v>7.3</v>
      </c>
      <c r="AC787" s="323">
        <v>5.6000000000000005</v>
      </c>
      <c r="AD787" s="323">
        <v>2.55314931576111</v>
      </c>
      <c r="AE787" s="323">
        <v>0</v>
      </c>
      <c r="AF787" s="323">
        <v>0</v>
      </c>
      <c r="AG787" s="323">
        <v>0</v>
      </c>
      <c r="AH787" s="323">
        <v>4.6991689950842401</v>
      </c>
      <c r="AI787" s="323">
        <v>0.9</v>
      </c>
      <c r="AJ787" s="323">
        <v>1</v>
      </c>
      <c r="AK787" s="323">
        <v>2.6</v>
      </c>
      <c r="AL787" s="323">
        <v>59.580791353273298</v>
      </c>
      <c r="AM787" s="323">
        <v>0.28160000000000002</v>
      </c>
      <c r="AN787" s="323">
        <v>0.28439999999999999</v>
      </c>
      <c r="AO787" s="323">
        <v>0.21840000000000001</v>
      </c>
      <c r="AP787" s="323">
        <v>0.17100000000000001</v>
      </c>
      <c r="AQ787" s="323">
        <v>0.33056000000000002</v>
      </c>
      <c r="AR787" s="323">
        <v>0.33335999999999999</v>
      </c>
      <c r="AS787" s="323">
        <v>0.26735999999999999</v>
      </c>
      <c r="AT787" s="323">
        <v>0.24895387269966979</v>
      </c>
      <c r="AU787" s="190">
        <v>1852336146548167.5</v>
      </c>
      <c r="AV787" s="190">
        <v>2349727629147961</v>
      </c>
      <c r="AW787" s="190">
        <v>1.2376600376013926E+16</v>
      </c>
      <c r="AX787" s="190">
        <v>9690470074626288</v>
      </c>
      <c r="AY787" s="203">
        <v>0.2</v>
      </c>
      <c r="BB787" s="204">
        <v>37446</v>
      </c>
      <c r="BC787" s="203" t="s">
        <v>3227</v>
      </c>
    </row>
    <row r="788" spans="1:55" x14ac:dyDescent="0.2">
      <c r="A788" s="184" t="s">
        <v>2835</v>
      </c>
      <c r="B788" s="184" t="s">
        <v>2834</v>
      </c>
      <c r="C788" s="184" t="s">
        <v>723</v>
      </c>
      <c r="D788" s="185" t="s">
        <v>2692</v>
      </c>
      <c r="E788" s="184" t="s">
        <v>2835</v>
      </c>
      <c r="F788" s="184" t="s">
        <v>2835</v>
      </c>
      <c r="G788" s="186">
        <f>IF(ALECA_Input!$F$13="ICAO (3000ft)",'Aircraft Calc'!C$216,'Aircraft Calc'!G$216)</f>
        <v>0.5</v>
      </c>
      <c r="H788" s="186">
        <f>IF(ALECA_Input!$F$13="ICAO (3000ft)",'Aircraft Calc'!D$216,'Aircraft Calc'!H$216)</f>
        <v>2.5</v>
      </c>
      <c r="I788" s="186">
        <f>IF(ALECA_Input!$F$13="ICAO (3000ft)",'Aircraft Calc'!E$216,'Aircraft Calc'!I$216)</f>
        <v>4.5</v>
      </c>
      <c r="J788" s="189">
        <v>1</v>
      </c>
      <c r="K788" s="187">
        <f t="shared" si="205"/>
        <v>16.542000000000002</v>
      </c>
      <c r="L788" s="187">
        <f t="shared" si="206"/>
        <v>0.10786140000000001</v>
      </c>
      <c r="M788" s="187">
        <f t="shared" si="207"/>
        <v>1.4687999999999999E-3</v>
      </c>
      <c r="N788" s="187">
        <f t="shared" si="208"/>
        <v>3.4732199999999998E-2</v>
      </c>
      <c r="O788" s="187">
        <f t="shared" si="209"/>
        <v>5.1076027199999999E-3</v>
      </c>
      <c r="P788" s="188">
        <f t="shared" si="210"/>
        <v>1.1166197715689477E+17</v>
      </c>
      <c r="Q788" s="187">
        <f t="shared" si="211"/>
        <v>577.40453756443674</v>
      </c>
      <c r="R788" s="219">
        <f t="shared" si="212"/>
        <v>1.6632000000000029</v>
      </c>
      <c r="S788" s="219">
        <f t="shared" si="213"/>
        <v>1.9152857650896993</v>
      </c>
      <c r="T788" s="219">
        <f t="shared" si="214"/>
        <v>26.262254777428652</v>
      </c>
      <c r="U788" s="219">
        <f t="shared" si="215"/>
        <v>0.13882321525327695</v>
      </c>
      <c r="V788" s="188">
        <f t="shared" si="216"/>
        <v>5595321392221605</v>
      </c>
      <c r="W788" s="323">
        <v>5.6599999999999998E-2</v>
      </c>
      <c r="X788" s="323">
        <v>0.05</v>
      </c>
      <c r="Y788" s="323">
        <v>2.7199999999999998E-2</v>
      </c>
      <c r="Z788" s="323">
        <v>9.6234089594072793E-3</v>
      </c>
      <c r="AA788" s="323">
        <v>7.5</v>
      </c>
      <c r="AB788" s="323">
        <v>7.2</v>
      </c>
      <c r="AC788" s="323">
        <v>5.6000000000000005</v>
      </c>
      <c r="AD788" s="323">
        <v>2.8804761511150998</v>
      </c>
      <c r="AE788" s="323">
        <v>0</v>
      </c>
      <c r="AF788" s="323">
        <v>0</v>
      </c>
      <c r="AG788" s="323">
        <v>0.2</v>
      </c>
      <c r="AH788" s="323">
        <v>3.31706046711827</v>
      </c>
      <c r="AI788" s="323">
        <v>0.9</v>
      </c>
      <c r="AJ788" s="323">
        <v>1</v>
      </c>
      <c r="AK788" s="323">
        <v>3.5</v>
      </c>
      <c r="AL788" s="323">
        <v>45.483284368020499</v>
      </c>
      <c r="AM788" s="323">
        <v>0.28160000000000002</v>
      </c>
      <c r="AN788" s="323">
        <v>0.28439999999999999</v>
      </c>
      <c r="AO788" s="323">
        <v>0.21840000000000001</v>
      </c>
      <c r="AP788" s="323">
        <v>0.17100000000000001</v>
      </c>
      <c r="AQ788" s="323">
        <v>0.33056000000000002</v>
      </c>
      <c r="AR788" s="323">
        <v>0.33335999999999999</v>
      </c>
      <c r="AS788" s="323">
        <v>0.27861000000000002</v>
      </c>
      <c r="AT788" s="323">
        <v>0.2404262630821197</v>
      </c>
      <c r="AU788" s="190">
        <v>1852336146548167.5</v>
      </c>
      <c r="AV788" s="190">
        <v>2349727629147961</v>
      </c>
      <c r="AW788" s="190">
        <v>1.2376600376013926E+16</v>
      </c>
      <c r="AX788" s="190">
        <v>9690470074626288</v>
      </c>
      <c r="AY788" s="203">
        <v>0.1</v>
      </c>
      <c r="BB788" s="204">
        <v>37446</v>
      </c>
      <c r="BC788" s="203" t="s">
        <v>3227</v>
      </c>
    </row>
    <row r="789" spans="1:55" x14ac:dyDescent="0.2">
      <c r="A789" s="184" t="s">
        <v>2837</v>
      </c>
      <c r="B789" s="184" t="s">
        <v>2836</v>
      </c>
      <c r="C789" s="184" t="s">
        <v>723</v>
      </c>
      <c r="D789" s="185" t="s">
        <v>2692</v>
      </c>
      <c r="E789" s="184" t="s">
        <v>2837</v>
      </c>
      <c r="F789" s="184" t="s">
        <v>2837</v>
      </c>
      <c r="G789" s="186">
        <f>IF(ALECA_Input!$F$13="ICAO (3000ft)",'Aircraft Calc'!C$216,'Aircraft Calc'!G$216)</f>
        <v>0.5</v>
      </c>
      <c r="H789" s="186">
        <f>IF(ALECA_Input!$F$13="ICAO (3000ft)",'Aircraft Calc'!D$216,'Aircraft Calc'!H$216)</f>
        <v>2.5</v>
      </c>
      <c r="I789" s="186">
        <f>IF(ALECA_Input!$F$13="ICAO (3000ft)",'Aircraft Calc'!E$216,'Aircraft Calc'!I$216)</f>
        <v>4.5</v>
      </c>
      <c r="J789" s="189">
        <v>1</v>
      </c>
      <c r="K789" s="187">
        <f t="shared" si="205"/>
        <v>19.410000000000004</v>
      </c>
      <c r="L789" s="187">
        <f t="shared" si="206"/>
        <v>0.11333700000000001</v>
      </c>
      <c r="M789" s="187">
        <f t="shared" si="207"/>
        <v>0</v>
      </c>
      <c r="N789" s="187">
        <f t="shared" si="208"/>
        <v>8.8314000000000004E-2</v>
      </c>
      <c r="O789" s="187">
        <f t="shared" si="209"/>
        <v>5.8595136000000004E-3</v>
      </c>
      <c r="P789" s="188">
        <f t="shared" si="210"/>
        <v>1.3674467868483387E+17</v>
      </c>
      <c r="Q789" s="187">
        <f t="shared" si="211"/>
        <v>707.02596436461602</v>
      </c>
      <c r="R789" s="219">
        <f t="shared" si="212"/>
        <v>1.4811428571428609</v>
      </c>
      <c r="S789" s="219">
        <f t="shared" si="213"/>
        <v>14.071487253720289</v>
      </c>
      <c r="T789" s="219">
        <f t="shared" si="214"/>
        <v>58.411047639047226</v>
      </c>
      <c r="U789" s="219">
        <f t="shared" si="215"/>
        <v>0.24233850747709523</v>
      </c>
      <c r="V789" s="188">
        <f t="shared" si="216"/>
        <v>6851413949659104</v>
      </c>
      <c r="W789" s="323">
        <v>6.0999999999999999E-2</v>
      </c>
      <c r="X789" s="323">
        <v>5.6000000000000001E-2</v>
      </c>
      <c r="Y789" s="323">
        <v>3.4000000000000002E-2</v>
      </c>
      <c r="Z789" s="323">
        <v>1.17837660727436E-2</v>
      </c>
      <c r="AA789" s="323">
        <v>7.1000000000000005</v>
      </c>
      <c r="AB789" s="323">
        <v>6.7</v>
      </c>
      <c r="AC789" s="323">
        <v>4.8</v>
      </c>
      <c r="AD789" s="323">
        <v>2.0948917462655299</v>
      </c>
      <c r="AE789" s="323">
        <v>0</v>
      </c>
      <c r="AF789" s="323">
        <v>0</v>
      </c>
      <c r="AG789" s="323">
        <v>0</v>
      </c>
      <c r="AH789" s="323">
        <v>19.9023628027097</v>
      </c>
      <c r="AI789" s="323">
        <v>2</v>
      </c>
      <c r="AJ789" s="323">
        <v>2.1</v>
      </c>
      <c r="AK789" s="323">
        <v>7.3</v>
      </c>
      <c r="AL789" s="323">
        <v>82.615138033211494</v>
      </c>
      <c r="AM789" s="323">
        <v>0.28160000000000002</v>
      </c>
      <c r="AN789" s="323">
        <v>0.28439999999999999</v>
      </c>
      <c r="AO789" s="323">
        <v>0.21840000000000001</v>
      </c>
      <c r="AP789" s="323">
        <v>0.17100000000000001</v>
      </c>
      <c r="AQ789" s="323">
        <v>0.33056000000000002</v>
      </c>
      <c r="AR789" s="323">
        <v>0.33335999999999999</v>
      </c>
      <c r="AS789" s="323">
        <v>0.26735999999999999</v>
      </c>
      <c r="AT789" s="323">
        <v>0.34275757849271898</v>
      </c>
      <c r="AU789" s="190">
        <v>1852336146548167.5</v>
      </c>
      <c r="AV789" s="190">
        <v>2349727629147961</v>
      </c>
      <c r="AW789" s="190">
        <v>1.2376600376013926E+16</v>
      </c>
      <c r="AX789" s="190">
        <v>9690470074626288</v>
      </c>
      <c r="AY789" s="203">
        <v>0.1</v>
      </c>
      <c r="BB789" s="204">
        <v>37446</v>
      </c>
      <c r="BC789" s="203" t="s">
        <v>3227</v>
      </c>
    </row>
    <row r="790" spans="1:55" x14ac:dyDescent="0.2">
      <c r="A790" s="184" t="s">
        <v>2839</v>
      </c>
      <c r="B790" s="184" t="s">
        <v>2838</v>
      </c>
      <c r="C790" s="184" t="s">
        <v>723</v>
      </c>
      <c r="D790" s="185" t="s">
        <v>2692</v>
      </c>
      <c r="E790" s="184" t="s">
        <v>2839</v>
      </c>
      <c r="F790" s="184" t="s">
        <v>2839</v>
      </c>
      <c r="G790" s="186">
        <f>IF(ALECA_Input!$F$13="ICAO (3000ft)",'Aircraft Calc'!C$216,'Aircraft Calc'!G$216)</f>
        <v>0.5</v>
      </c>
      <c r="H790" s="186">
        <f>IF(ALECA_Input!$F$13="ICAO (3000ft)",'Aircraft Calc'!D$216,'Aircraft Calc'!H$216)</f>
        <v>2.5</v>
      </c>
      <c r="I790" s="186">
        <f>IF(ALECA_Input!$F$13="ICAO (3000ft)",'Aircraft Calc'!E$216,'Aircraft Calc'!I$216)</f>
        <v>4.5</v>
      </c>
      <c r="J790" s="189">
        <v>1</v>
      </c>
      <c r="K790" s="187">
        <f t="shared" si="205"/>
        <v>17.880000000000003</v>
      </c>
      <c r="L790" s="187">
        <f t="shared" si="206"/>
        <v>0.10100100000000001</v>
      </c>
      <c r="M790" s="187">
        <f t="shared" si="207"/>
        <v>2.5110000000000002E-3</v>
      </c>
      <c r="N790" s="187">
        <f t="shared" si="208"/>
        <v>9.5073000000000005E-2</v>
      </c>
      <c r="O790" s="187">
        <f t="shared" si="209"/>
        <v>5.4194305500000007E-3</v>
      </c>
      <c r="P790" s="188">
        <f t="shared" si="210"/>
        <v>1.2237771215052675E+17</v>
      </c>
      <c r="Q790" s="187">
        <f t="shared" si="211"/>
        <v>667.74674412213596</v>
      </c>
      <c r="R790" s="219">
        <f t="shared" si="212"/>
        <v>1.3988571428571435</v>
      </c>
      <c r="S790" s="219">
        <f t="shared" si="213"/>
        <v>16.058433370565048</v>
      </c>
      <c r="T790" s="219">
        <f t="shared" si="214"/>
        <v>59.595902090826883</v>
      </c>
      <c r="U790" s="219">
        <f t="shared" si="215"/>
        <v>0.24595810773349144</v>
      </c>
      <c r="V790" s="188">
        <f t="shared" si="216"/>
        <v>6470779841344696</v>
      </c>
      <c r="W790" s="323">
        <v>5.7000000000000002E-2</v>
      </c>
      <c r="X790" s="323">
        <v>5.1999999999999998E-2</v>
      </c>
      <c r="Y790" s="323">
        <v>3.1E-2</v>
      </c>
      <c r="Z790" s="323">
        <v>1.1129112402035599E-2</v>
      </c>
      <c r="AA790" s="323">
        <v>6.9</v>
      </c>
      <c r="AB790" s="323">
        <v>6.5</v>
      </c>
      <c r="AC790" s="323">
        <v>4.6000000000000005</v>
      </c>
      <c r="AD790" s="323">
        <v>2.0948917462655299</v>
      </c>
      <c r="AE790" s="323">
        <v>0</v>
      </c>
      <c r="AF790" s="323">
        <v>0</v>
      </c>
      <c r="AG790" s="323">
        <v>0.3</v>
      </c>
      <c r="AH790" s="323">
        <v>24.048688386607601</v>
      </c>
      <c r="AI790" s="323">
        <v>2</v>
      </c>
      <c r="AJ790" s="323">
        <v>2.2000000000000002</v>
      </c>
      <c r="AK790" s="323">
        <v>8.9</v>
      </c>
      <c r="AL790" s="323">
        <v>89.249258967448199</v>
      </c>
      <c r="AM790" s="323">
        <v>0.27279999999999999</v>
      </c>
      <c r="AN790" s="323">
        <v>0.27479999999999999</v>
      </c>
      <c r="AO790" s="323">
        <v>0.2142</v>
      </c>
      <c r="AP790" s="323">
        <v>0.17100000000000001</v>
      </c>
      <c r="AQ790" s="323">
        <v>0.32175999999999999</v>
      </c>
      <c r="AR790" s="323">
        <v>0.32375999999999999</v>
      </c>
      <c r="AS790" s="323">
        <v>0.28003499999999998</v>
      </c>
      <c r="AT790" s="323">
        <v>0.36834040734536899</v>
      </c>
      <c r="AU790" s="190">
        <v>1794450641968537.3</v>
      </c>
      <c r="AV790" s="190">
        <v>2270411928586004</v>
      </c>
      <c r="AW790" s="190">
        <v>1.213858883032135E+16</v>
      </c>
      <c r="AX790" s="190">
        <v>9690470074626288</v>
      </c>
      <c r="AY790" s="203">
        <v>0.1</v>
      </c>
      <c r="BB790" s="204">
        <v>37446</v>
      </c>
      <c r="BC790" s="203" t="s">
        <v>3227</v>
      </c>
    </row>
    <row r="791" spans="1:55" x14ac:dyDescent="0.2">
      <c r="A791" s="184" t="s">
        <v>2841</v>
      </c>
      <c r="B791" s="184" t="s">
        <v>2840</v>
      </c>
      <c r="C791" s="184" t="s">
        <v>723</v>
      </c>
      <c r="D791" s="185" t="s">
        <v>2692</v>
      </c>
      <c r="E791" s="184" t="s">
        <v>2841</v>
      </c>
      <c r="F791" s="184" t="s">
        <v>2841</v>
      </c>
      <c r="G791" s="186">
        <f>IF(ALECA_Input!$F$13="ICAO (3000ft)",'Aircraft Calc'!C$216,'Aircraft Calc'!G$216)</f>
        <v>0.5</v>
      </c>
      <c r="H791" s="186">
        <f>IF(ALECA_Input!$F$13="ICAO (3000ft)",'Aircraft Calc'!D$216,'Aircraft Calc'!H$216)</f>
        <v>2.5</v>
      </c>
      <c r="I791" s="186">
        <f>IF(ALECA_Input!$F$13="ICAO (3000ft)",'Aircraft Calc'!E$216,'Aircraft Calc'!I$216)</f>
        <v>4.5</v>
      </c>
      <c r="J791" s="189">
        <v>1</v>
      </c>
      <c r="K791" s="187">
        <f t="shared" si="205"/>
        <v>20.729999999999997</v>
      </c>
      <c r="L791" s="187">
        <f t="shared" si="206"/>
        <v>0.126474</v>
      </c>
      <c r="M791" s="187">
        <f t="shared" si="207"/>
        <v>0</v>
      </c>
      <c r="N791" s="187">
        <f t="shared" si="208"/>
        <v>8.2283999999999996E-2</v>
      </c>
      <c r="O791" s="187">
        <f t="shared" si="209"/>
        <v>6.5560368000000006E-3</v>
      </c>
      <c r="P791" s="188">
        <f t="shared" si="210"/>
        <v>1.5214055400344954E+17</v>
      </c>
      <c r="Q791" s="187">
        <f t="shared" si="211"/>
        <v>746.30518460709595</v>
      </c>
      <c r="R791" s="219">
        <f t="shared" si="212"/>
        <v>1.6122857142857225</v>
      </c>
      <c r="S791" s="219">
        <f t="shared" si="213"/>
        <v>12.171402169305898</v>
      </c>
      <c r="T791" s="219">
        <f t="shared" si="214"/>
        <v>56.292437088641243</v>
      </c>
      <c r="U791" s="219">
        <f t="shared" si="215"/>
        <v>0.24149375534461556</v>
      </c>
      <c r="V791" s="188">
        <f t="shared" si="216"/>
        <v>7358926094078309</v>
      </c>
      <c r="W791" s="323">
        <v>6.7000000000000004E-2</v>
      </c>
      <c r="X791" s="323">
        <v>0.06</v>
      </c>
      <c r="Y791" s="323">
        <v>3.5999999999999997E-2</v>
      </c>
      <c r="Z791" s="323">
        <v>1.24384197434516E-2</v>
      </c>
      <c r="AA791" s="323">
        <v>7.4</v>
      </c>
      <c r="AB791" s="323">
        <v>7</v>
      </c>
      <c r="AC791" s="323">
        <v>5</v>
      </c>
      <c r="AD791" s="323">
        <v>2.16035711333633</v>
      </c>
      <c r="AE791" s="323">
        <v>0</v>
      </c>
      <c r="AF791" s="323">
        <v>0</v>
      </c>
      <c r="AG791" s="323">
        <v>0</v>
      </c>
      <c r="AH791" s="323">
        <v>16.3088806299982</v>
      </c>
      <c r="AI791" s="323">
        <v>2</v>
      </c>
      <c r="AJ791" s="323">
        <v>2</v>
      </c>
      <c r="AK791" s="323">
        <v>6.2</v>
      </c>
      <c r="AL791" s="323">
        <v>75.4281736877887</v>
      </c>
      <c r="AM791" s="323">
        <v>0.29920000000000002</v>
      </c>
      <c r="AN791" s="323">
        <v>0.3024</v>
      </c>
      <c r="AO791" s="323">
        <v>0.22819999999999999</v>
      </c>
      <c r="AP791" s="323">
        <v>0.17399999999999999</v>
      </c>
      <c r="AQ791" s="323">
        <v>0.34816000000000003</v>
      </c>
      <c r="AR791" s="323">
        <v>0.35136000000000001</v>
      </c>
      <c r="AS791" s="323">
        <v>0.27716000000000002</v>
      </c>
      <c r="AT791" s="323">
        <v>0.32358579348708899</v>
      </c>
      <c r="AU791" s="190">
        <v>1968107155707428.3</v>
      </c>
      <c r="AV791" s="190">
        <v>2498444567701629</v>
      </c>
      <c r="AW791" s="190">
        <v>1.2931960649296602E+16</v>
      </c>
      <c r="AX791" s="190">
        <v>9860478321549556</v>
      </c>
      <c r="AY791" s="203">
        <v>0.2</v>
      </c>
      <c r="BB791" s="204">
        <v>37446</v>
      </c>
      <c r="BC791" s="203" t="s">
        <v>3227</v>
      </c>
    </row>
    <row r="792" spans="1:55" x14ac:dyDescent="0.2">
      <c r="A792" s="184" t="s">
        <v>230</v>
      </c>
      <c r="B792" s="184" t="s">
        <v>2842</v>
      </c>
      <c r="C792" s="184" t="s">
        <v>723</v>
      </c>
      <c r="D792" s="185" t="s">
        <v>2692</v>
      </c>
      <c r="E792" s="184" t="s">
        <v>230</v>
      </c>
      <c r="F792" s="184" t="s">
        <v>230</v>
      </c>
      <c r="G792" s="186">
        <f>IF(ALECA_Input!$F$13="ICAO (3000ft)",'Aircraft Calc'!C$216,'Aircraft Calc'!G$216)</f>
        <v>0.5</v>
      </c>
      <c r="H792" s="186">
        <f>IF(ALECA_Input!$F$13="ICAO (3000ft)",'Aircraft Calc'!D$216,'Aircraft Calc'!H$216)</f>
        <v>2.5</v>
      </c>
      <c r="I792" s="186">
        <f>IF(ALECA_Input!$F$13="ICAO (3000ft)",'Aircraft Calc'!E$216,'Aircraft Calc'!I$216)</f>
        <v>4.5</v>
      </c>
      <c r="J792" s="189">
        <v>1</v>
      </c>
      <c r="K792" s="187">
        <f t="shared" si="205"/>
        <v>19.800000000000004</v>
      </c>
      <c r="L792" s="187">
        <f t="shared" si="206"/>
        <v>0.11902800000000002</v>
      </c>
      <c r="M792" s="187">
        <f t="shared" si="207"/>
        <v>0</v>
      </c>
      <c r="N792" s="187">
        <f t="shared" si="208"/>
        <v>8.4390000000000021E-2</v>
      </c>
      <c r="O792" s="187">
        <f t="shared" si="209"/>
        <v>6.269628000000001E-3</v>
      </c>
      <c r="P792" s="188">
        <f t="shared" si="210"/>
        <v>1.4423063223850528E+17</v>
      </c>
      <c r="Q792" s="187">
        <f t="shared" si="211"/>
        <v>707.02596436461602</v>
      </c>
      <c r="R792" s="219">
        <f t="shared" si="212"/>
        <v>1.5274285714285769</v>
      </c>
      <c r="S792" s="219">
        <f t="shared" si="213"/>
        <v>12.312551347005261</v>
      </c>
      <c r="T792" s="219">
        <f t="shared" si="214"/>
        <v>54.229924523949201</v>
      </c>
      <c r="U792" s="219">
        <f t="shared" si="215"/>
        <v>0.23360695082575722</v>
      </c>
      <c r="V792" s="188">
        <f t="shared" si="216"/>
        <v>6971614194389966</v>
      </c>
      <c r="W792" s="323">
        <v>6.4000000000000001E-2</v>
      </c>
      <c r="X792" s="323">
        <v>5.8000000000000003E-2</v>
      </c>
      <c r="Y792" s="323">
        <v>3.4000000000000002E-2</v>
      </c>
      <c r="Z792" s="323">
        <v>1.17837660727436E-2</v>
      </c>
      <c r="AA792" s="323">
        <v>7.3</v>
      </c>
      <c r="AB792" s="323">
        <v>6.9</v>
      </c>
      <c r="AC792" s="323">
        <v>4.9000000000000004</v>
      </c>
      <c r="AD792" s="323">
        <v>2.16035711333633</v>
      </c>
      <c r="AE792" s="323">
        <v>0</v>
      </c>
      <c r="AF792" s="323">
        <v>0</v>
      </c>
      <c r="AG792" s="323">
        <v>0</v>
      </c>
      <c r="AH792" s="323">
        <v>17.414567452370999</v>
      </c>
      <c r="AI792" s="323">
        <v>1.9000000000000001</v>
      </c>
      <c r="AJ792" s="323">
        <v>2</v>
      </c>
      <c r="AK792" s="323">
        <v>6.9</v>
      </c>
      <c r="AL792" s="323">
        <v>76.701461130474996</v>
      </c>
      <c r="AM792" s="323">
        <v>0.29920000000000002</v>
      </c>
      <c r="AN792" s="323">
        <v>0.3024</v>
      </c>
      <c r="AO792" s="323">
        <v>0.22819999999999999</v>
      </c>
      <c r="AP792" s="323">
        <v>0.17399999999999999</v>
      </c>
      <c r="AQ792" s="323">
        <v>0.34816000000000003</v>
      </c>
      <c r="AR792" s="323">
        <v>0.35136000000000001</v>
      </c>
      <c r="AS792" s="323">
        <v>0.27716000000000002</v>
      </c>
      <c r="AT792" s="323">
        <v>0.33040788118112902</v>
      </c>
      <c r="AU792" s="190">
        <v>1968107155707428.3</v>
      </c>
      <c r="AV792" s="190">
        <v>2498444567701629</v>
      </c>
      <c r="AW792" s="190">
        <v>1.2931960649296602E+16</v>
      </c>
      <c r="AX792" s="190">
        <v>9860478321549556</v>
      </c>
      <c r="AY792" s="203">
        <v>0.2</v>
      </c>
      <c r="BB792" s="204">
        <v>41556</v>
      </c>
      <c r="BC792" s="203" t="s">
        <v>3233</v>
      </c>
    </row>
    <row r="793" spans="1:55" x14ac:dyDescent="0.2">
      <c r="A793" s="184" t="s">
        <v>2844</v>
      </c>
      <c r="B793" s="184" t="s">
        <v>2843</v>
      </c>
      <c r="C793" s="184" t="s">
        <v>723</v>
      </c>
      <c r="D793" s="185" t="s">
        <v>2692</v>
      </c>
      <c r="E793" s="184" t="s">
        <v>2844</v>
      </c>
      <c r="F793" s="184" t="s">
        <v>2844</v>
      </c>
      <c r="G793" s="186">
        <f>IF(ALECA_Input!$F$13="ICAO (3000ft)",'Aircraft Calc'!C$216,'Aircraft Calc'!G$216)</f>
        <v>0.5</v>
      </c>
      <c r="H793" s="186">
        <f>IF(ALECA_Input!$F$13="ICAO (3000ft)",'Aircraft Calc'!D$216,'Aircraft Calc'!H$216)</f>
        <v>2.5</v>
      </c>
      <c r="I793" s="186">
        <f>IF(ALECA_Input!$F$13="ICAO (3000ft)",'Aircraft Calc'!E$216,'Aircraft Calc'!I$216)</f>
        <v>4.5</v>
      </c>
      <c r="J793" s="189">
        <v>1</v>
      </c>
      <c r="K793" s="187">
        <f t="shared" si="205"/>
        <v>23.700000000000003</v>
      </c>
      <c r="L793" s="187">
        <f t="shared" si="206"/>
        <v>0.15306</v>
      </c>
      <c r="M793" s="187">
        <f t="shared" si="207"/>
        <v>0</v>
      </c>
      <c r="N793" s="187">
        <f t="shared" si="208"/>
        <v>8.2229999999999998E-2</v>
      </c>
      <c r="O793" s="187">
        <f t="shared" si="209"/>
        <v>8.3165520000000014E-3</v>
      </c>
      <c r="P793" s="188">
        <f t="shared" si="210"/>
        <v>1.894920664901265E+17</v>
      </c>
      <c r="Q793" s="187">
        <f t="shared" si="211"/>
        <v>824.86362509205003</v>
      </c>
      <c r="R793" s="219">
        <f t="shared" si="212"/>
        <v>1.8360000000000039</v>
      </c>
      <c r="S793" s="219">
        <f t="shared" si="213"/>
        <v>11.628520716616039</v>
      </c>
      <c r="T793" s="219">
        <f t="shared" si="214"/>
        <v>57.291494714218274</v>
      </c>
      <c r="U793" s="219">
        <f t="shared" si="215"/>
        <v>0.25937145298495873</v>
      </c>
      <c r="V793" s="188">
        <f t="shared" si="216"/>
        <v>8343900321733946</v>
      </c>
      <c r="W793" s="323">
        <v>0.08</v>
      </c>
      <c r="X793" s="323">
        <v>7.0000000000000007E-2</v>
      </c>
      <c r="Y793" s="323">
        <v>0.04</v>
      </c>
      <c r="Z793" s="323">
        <v>1.37477270848675E-2</v>
      </c>
      <c r="AA793" s="323">
        <v>8</v>
      </c>
      <c r="AB793" s="323">
        <v>7.4</v>
      </c>
      <c r="AC793" s="323">
        <v>5.2</v>
      </c>
      <c r="AD793" s="323">
        <v>2.22582248040713</v>
      </c>
      <c r="AE793" s="323">
        <v>0</v>
      </c>
      <c r="AF793" s="323">
        <v>0</v>
      </c>
      <c r="AG793" s="323">
        <v>0</v>
      </c>
      <c r="AH793" s="323">
        <v>14.0975069852527</v>
      </c>
      <c r="AI793" s="323">
        <v>2.1</v>
      </c>
      <c r="AJ793" s="323">
        <v>1.9000000000000001</v>
      </c>
      <c r="AK793" s="323">
        <v>5.3</v>
      </c>
      <c r="AL793" s="323">
        <v>69.455717250017997</v>
      </c>
      <c r="AM793" s="323">
        <v>0.34100000000000003</v>
      </c>
      <c r="AN793" s="323">
        <v>0.34439999999999998</v>
      </c>
      <c r="AO793" s="323">
        <v>0.252</v>
      </c>
      <c r="AP793" s="323">
        <v>0.17849999999999999</v>
      </c>
      <c r="AQ793" s="323">
        <v>0.38995999999999997</v>
      </c>
      <c r="AR793" s="323">
        <v>0.39335999999999999</v>
      </c>
      <c r="AS793" s="323">
        <v>0.30096000000000001</v>
      </c>
      <c r="AT793" s="323">
        <v>0.31444161809900922</v>
      </c>
      <c r="AU793" s="190">
        <v>2243063302460672</v>
      </c>
      <c r="AV793" s="190">
        <v>2845450757660188.5</v>
      </c>
      <c r="AW793" s="190">
        <v>1.428069274155453E+16</v>
      </c>
      <c r="AX793" s="190">
        <v>1.0115490691934458E+16</v>
      </c>
      <c r="AY793" s="203">
        <v>0.2</v>
      </c>
      <c r="BB793" s="204">
        <v>37446</v>
      </c>
      <c r="BC793" s="203" t="s">
        <v>3227</v>
      </c>
    </row>
    <row r="794" spans="1:55" x14ac:dyDescent="0.2">
      <c r="A794" s="184" t="s">
        <v>2846</v>
      </c>
      <c r="B794" s="184" t="s">
        <v>2845</v>
      </c>
      <c r="C794" s="184" t="s">
        <v>723</v>
      </c>
      <c r="D794" s="185" t="s">
        <v>2692</v>
      </c>
      <c r="E794" s="184" t="s">
        <v>2846</v>
      </c>
      <c r="F794" s="184" t="s">
        <v>2846</v>
      </c>
      <c r="G794" s="186">
        <f>IF(ALECA_Input!$F$13="ICAO (3000ft)",'Aircraft Calc'!C$216,'Aircraft Calc'!G$216)</f>
        <v>0.5</v>
      </c>
      <c r="H794" s="186">
        <f>IF(ALECA_Input!$F$13="ICAO (3000ft)",'Aircraft Calc'!D$216,'Aircraft Calc'!H$216)</f>
        <v>2.5</v>
      </c>
      <c r="I794" s="186">
        <f>IF(ALECA_Input!$F$13="ICAO (3000ft)",'Aircraft Calc'!E$216,'Aircraft Calc'!I$216)</f>
        <v>4.5</v>
      </c>
      <c r="J794" s="189">
        <v>1</v>
      </c>
      <c r="K794" s="187">
        <f t="shared" si="205"/>
        <v>23.879999999999995</v>
      </c>
      <c r="L794" s="187">
        <f t="shared" si="206"/>
        <v>0.15547499999999997</v>
      </c>
      <c r="M794" s="187">
        <f t="shared" si="207"/>
        <v>0</v>
      </c>
      <c r="N794" s="187">
        <f t="shared" si="208"/>
        <v>8.1740999999999994E-2</v>
      </c>
      <c r="O794" s="187">
        <f t="shared" si="209"/>
        <v>8.4487338000000002E-3</v>
      </c>
      <c r="P794" s="188">
        <f t="shared" si="210"/>
        <v>1.9121253281251011E+17</v>
      </c>
      <c r="Q794" s="187">
        <f t="shared" si="211"/>
        <v>824.86362509205003</v>
      </c>
      <c r="R794" s="219">
        <f t="shared" si="212"/>
        <v>1.8360000000000039</v>
      </c>
      <c r="S794" s="219">
        <f t="shared" si="213"/>
        <v>11.172500296356571</v>
      </c>
      <c r="T794" s="219">
        <f t="shared" si="214"/>
        <v>55.785185798200565</v>
      </c>
      <c r="U794" s="219">
        <f t="shared" si="215"/>
        <v>0.25655780699195774</v>
      </c>
      <c r="V794" s="188">
        <f t="shared" si="216"/>
        <v>8343900321733946</v>
      </c>
      <c r="W794" s="323">
        <v>8.1000000000000003E-2</v>
      </c>
      <c r="X794" s="323">
        <v>7.0999999999999994E-2</v>
      </c>
      <c r="Y794" s="323">
        <v>0.04</v>
      </c>
      <c r="Z794" s="323">
        <v>1.37477270848675E-2</v>
      </c>
      <c r="AA794" s="323">
        <v>8</v>
      </c>
      <c r="AB794" s="323">
        <v>7.5</v>
      </c>
      <c r="AC794" s="323">
        <v>5.2</v>
      </c>
      <c r="AD794" s="323">
        <v>2.22582248040713</v>
      </c>
      <c r="AE794" s="323">
        <v>0</v>
      </c>
      <c r="AF794" s="323">
        <v>0</v>
      </c>
      <c r="AG794" s="323">
        <v>0</v>
      </c>
      <c r="AH794" s="323">
        <v>13.5446635740663</v>
      </c>
      <c r="AI794" s="323">
        <v>2.2000000000000002</v>
      </c>
      <c r="AJ794" s="323">
        <v>1.9000000000000001</v>
      </c>
      <c r="AK794" s="323">
        <v>5.2</v>
      </c>
      <c r="AL794" s="323">
        <v>67.629586396145498</v>
      </c>
      <c r="AM794" s="323">
        <v>0.34429999999999999</v>
      </c>
      <c r="AN794" s="323">
        <v>0.34799999999999998</v>
      </c>
      <c r="AO794" s="323">
        <v>0.25340000000000001</v>
      </c>
      <c r="AP794" s="323">
        <v>0.17849999999999999</v>
      </c>
      <c r="AQ794" s="323">
        <v>0.39326</v>
      </c>
      <c r="AR794" s="323">
        <v>0.39695999999999998</v>
      </c>
      <c r="AS794" s="323">
        <v>0.30236000000000002</v>
      </c>
      <c r="AT794" s="323">
        <v>0.3110305742519891</v>
      </c>
      <c r="AU794" s="190">
        <v>2264770366678033.5</v>
      </c>
      <c r="AV794" s="190">
        <v>2875194145370922.5</v>
      </c>
      <c r="AW794" s="190">
        <v>1.4360029923452054E+16</v>
      </c>
      <c r="AX794" s="190">
        <v>1.0115490691934458E+16</v>
      </c>
      <c r="AY794" s="203">
        <v>0.2</v>
      </c>
      <c r="BB794" s="204">
        <v>37446</v>
      </c>
      <c r="BC794" s="203" t="s">
        <v>3227</v>
      </c>
    </row>
    <row r="795" spans="1:55" x14ac:dyDescent="0.2">
      <c r="A795" s="184" t="s">
        <v>2848</v>
      </c>
      <c r="B795" s="184" t="s">
        <v>2847</v>
      </c>
      <c r="C795" s="184" t="s">
        <v>723</v>
      </c>
      <c r="D795" s="185" t="s">
        <v>2692</v>
      </c>
      <c r="E795" s="184" t="s">
        <v>2848</v>
      </c>
      <c r="F795" s="184" t="s">
        <v>2848</v>
      </c>
      <c r="G795" s="186">
        <f>IF(ALECA_Input!$F$13="ICAO (3000ft)",'Aircraft Calc'!C$216,'Aircraft Calc'!G$216)</f>
        <v>0.5</v>
      </c>
      <c r="H795" s="186">
        <f>IF(ALECA_Input!$F$13="ICAO (3000ft)",'Aircraft Calc'!D$216,'Aircraft Calc'!H$216)</f>
        <v>2.5</v>
      </c>
      <c r="I795" s="186">
        <f>IF(ALECA_Input!$F$13="ICAO (3000ft)",'Aircraft Calc'!E$216,'Aircraft Calc'!I$216)</f>
        <v>4.5</v>
      </c>
      <c r="J795" s="189">
        <v>1</v>
      </c>
      <c r="K795" s="187">
        <f t="shared" si="205"/>
        <v>23.879999999999995</v>
      </c>
      <c r="L795" s="187">
        <f t="shared" si="206"/>
        <v>0.15547499999999997</v>
      </c>
      <c r="M795" s="187">
        <f t="shared" si="207"/>
        <v>0</v>
      </c>
      <c r="N795" s="187">
        <f t="shared" si="208"/>
        <v>8.1740999999999994E-2</v>
      </c>
      <c r="O795" s="187">
        <f t="shared" si="209"/>
        <v>8.4487338000000002E-3</v>
      </c>
      <c r="P795" s="188">
        <f t="shared" si="210"/>
        <v>1.9121253281251011E+17</v>
      </c>
      <c r="Q795" s="187">
        <f t="shared" si="211"/>
        <v>824.86362509205003</v>
      </c>
      <c r="R795" s="219">
        <f t="shared" si="212"/>
        <v>1.8360000000000039</v>
      </c>
      <c r="S795" s="219">
        <f t="shared" si="213"/>
        <v>11.172500296356571</v>
      </c>
      <c r="T795" s="219">
        <f t="shared" si="214"/>
        <v>55.785185798200565</v>
      </c>
      <c r="U795" s="219">
        <f t="shared" si="215"/>
        <v>0.25655780699195774</v>
      </c>
      <c r="V795" s="188">
        <f t="shared" si="216"/>
        <v>8343900321733946</v>
      </c>
      <c r="W795" s="323">
        <v>8.1000000000000003E-2</v>
      </c>
      <c r="X795" s="323">
        <v>7.0999999999999994E-2</v>
      </c>
      <c r="Y795" s="323">
        <v>0.04</v>
      </c>
      <c r="Z795" s="323">
        <v>1.37477270848675E-2</v>
      </c>
      <c r="AA795" s="323">
        <v>8</v>
      </c>
      <c r="AB795" s="323">
        <v>7.5</v>
      </c>
      <c r="AC795" s="323">
        <v>5.2</v>
      </c>
      <c r="AD795" s="323">
        <v>2.22582248040713</v>
      </c>
      <c r="AE795" s="323">
        <v>0</v>
      </c>
      <c r="AF795" s="323">
        <v>0</v>
      </c>
      <c r="AG795" s="323">
        <v>0</v>
      </c>
      <c r="AH795" s="323">
        <v>13.5446635740663</v>
      </c>
      <c r="AI795" s="323">
        <v>2.2000000000000002</v>
      </c>
      <c r="AJ795" s="323">
        <v>1.9000000000000001</v>
      </c>
      <c r="AK795" s="323">
        <v>5.2</v>
      </c>
      <c r="AL795" s="323">
        <v>67.629586396145498</v>
      </c>
      <c r="AM795" s="323">
        <v>0.34429999999999999</v>
      </c>
      <c r="AN795" s="323">
        <v>0.34799999999999998</v>
      </c>
      <c r="AO795" s="323">
        <v>0.25340000000000001</v>
      </c>
      <c r="AP795" s="323">
        <v>0.17849999999999999</v>
      </c>
      <c r="AQ795" s="323">
        <v>0.39326</v>
      </c>
      <c r="AR795" s="323">
        <v>0.39695999999999998</v>
      </c>
      <c r="AS795" s="323">
        <v>0.30236000000000002</v>
      </c>
      <c r="AT795" s="323">
        <v>0.3110305742519891</v>
      </c>
      <c r="AU795" s="190">
        <v>2264770366678033.5</v>
      </c>
      <c r="AV795" s="190">
        <v>2875194145370922.5</v>
      </c>
      <c r="AW795" s="190">
        <v>1.4360029923452054E+16</v>
      </c>
      <c r="AX795" s="190">
        <v>1.0115490691934458E+16</v>
      </c>
      <c r="AY795" s="203">
        <v>0.2</v>
      </c>
      <c r="BB795" s="204">
        <v>37446</v>
      </c>
      <c r="BC795" s="203" t="s">
        <v>3227</v>
      </c>
    </row>
    <row r="796" spans="1:55" x14ac:dyDescent="0.2">
      <c r="A796" s="184" t="s">
        <v>2850</v>
      </c>
      <c r="B796" s="184" t="s">
        <v>2849</v>
      </c>
      <c r="C796" s="184" t="s">
        <v>723</v>
      </c>
      <c r="D796" s="185" t="s">
        <v>2692</v>
      </c>
      <c r="E796" s="184" t="s">
        <v>2850</v>
      </c>
      <c r="F796" s="184" t="s">
        <v>2850</v>
      </c>
      <c r="G796" s="186">
        <f>IF(ALECA_Input!$F$13="ICAO (3000ft)",'Aircraft Calc'!C$216,'Aircraft Calc'!G$216)</f>
        <v>0.5</v>
      </c>
      <c r="H796" s="186">
        <f>IF(ALECA_Input!$F$13="ICAO (3000ft)",'Aircraft Calc'!D$216,'Aircraft Calc'!H$216)</f>
        <v>2.5</v>
      </c>
      <c r="I796" s="186">
        <f>IF(ALECA_Input!$F$13="ICAO (3000ft)",'Aircraft Calc'!E$216,'Aircraft Calc'!I$216)</f>
        <v>4.5</v>
      </c>
      <c r="J796" s="189">
        <v>1</v>
      </c>
      <c r="K796" s="187">
        <f t="shared" si="205"/>
        <v>24.689999999999998</v>
      </c>
      <c r="L796" s="187">
        <f t="shared" si="206"/>
        <v>0.16369499999999998</v>
      </c>
      <c r="M796" s="187">
        <f t="shared" si="207"/>
        <v>0</v>
      </c>
      <c r="N796" s="187">
        <f t="shared" si="208"/>
        <v>8.113200000000001E-2</v>
      </c>
      <c r="O796" s="187">
        <f t="shared" si="209"/>
        <v>8.9190324000000005E-3</v>
      </c>
      <c r="P796" s="188">
        <f t="shared" si="210"/>
        <v>2.0099844928398861E+17</v>
      </c>
      <c r="Q796" s="187">
        <f t="shared" si="211"/>
        <v>824.86362509205003</v>
      </c>
      <c r="R796" s="219">
        <f t="shared" si="212"/>
        <v>1.8899999999999972</v>
      </c>
      <c r="S796" s="219">
        <f t="shared" si="213"/>
        <v>10.260459455837715</v>
      </c>
      <c r="T796" s="219">
        <f t="shared" si="214"/>
        <v>53.366836041663838</v>
      </c>
      <c r="U796" s="219">
        <f t="shared" si="215"/>
        <v>0.25216781044359449</v>
      </c>
      <c r="V796" s="188">
        <f t="shared" si="216"/>
        <v>8414017131160282</v>
      </c>
      <c r="W796" s="323">
        <v>8.4000000000000005E-2</v>
      </c>
      <c r="X796" s="323">
        <v>7.3999999999999996E-2</v>
      </c>
      <c r="Y796" s="323">
        <v>4.1000000000000002E-2</v>
      </c>
      <c r="Z796" s="323">
        <v>1.37477270848675E-2</v>
      </c>
      <c r="AA796" s="323">
        <v>8.1999999999999993</v>
      </c>
      <c r="AB796" s="323">
        <v>7.6000000000000005</v>
      </c>
      <c r="AC796" s="323">
        <v>5.3</v>
      </c>
      <c r="AD796" s="323">
        <v>2.2912878474779199</v>
      </c>
      <c r="AE796" s="323">
        <v>0</v>
      </c>
      <c r="AF796" s="323">
        <v>0</v>
      </c>
      <c r="AG796" s="323">
        <v>0</v>
      </c>
      <c r="AH796" s="323">
        <v>12.4389767516936</v>
      </c>
      <c r="AI796" s="323">
        <v>2.3000000000000003</v>
      </c>
      <c r="AJ796" s="323">
        <v>2</v>
      </c>
      <c r="AK796" s="323">
        <v>4.8</v>
      </c>
      <c r="AL796" s="323">
        <v>64.697768719900097</v>
      </c>
      <c r="AM796" s="323">
        <v>0.35199999999999998</v>
      </c>
      <c r="AN796" s="323">
        <v>0.35639999999999999</v>
      </c>
      <c r="AO796" s="323">
        <v>0.25900000000000001</v>
      </c>
      <c r="AP796" s="323">
        <v>0.18</v>
      </c>
      <c r="AQ796" s="323">
        <v>0.40095999999999998</v>
      </c>
      <c r="AR796" s="323">
        <v>0.40536</v>
      </c>
      <c r="AS796" s="323">
        <v>0.30796000000000001</v>
      </c>
      <c r="AT796" s="323">
        <v>0.30570848655794952</v>
      </c>
      <c r="AU796" s="190">
        <v>2315420183185209.5</v>
      </c>
      <c r="AV796" s="190">
        <v>2944595383362634.5</v>
      </c>
      <c r="AW796" s="190">
        <v>1.4677378651042154E+16</v>
      </c>
      <c r="AX796" s="190">
        <v>1.0200494815396092E+16</v>
      </c>
      <c r="AY796" s="203">
        <v>0.2</v>
      </c>
      <c r="BB796" s="204">
        <v>37446</v>
      </c>
      <c r="BC796" s="203" t="s">
        <v>3227</v>
      </c>
    </row>
    <row r="797" spans="1:55" x14ac:dyDescent="0.2">
      <c r="A797" s="184" t="s">
        <v>279</v>
      </c>
      <c r="B797" s="184" t="s">
        <v>2851</v>
      </c>
      <c r="C797" s="184" t="s">
        <v>723</v>
      </c>
      <c r="D797" s="185" t="s">
        <v>2692</v>
      </c>
      <c r="E797" s="184" t="s">
        <v>3236</v>
      </c>
      <c r="F797" s="184" t="s">
        <v>279</v>
      </c>
      <c r="G797" s="186">
        <f>IF(ALECA_Input!$F$13="ICAO (3000ft)",'Aircraft Calc'!C$216,'Aircraft Calc'!G$216)</f>
        <v>0.5</v>
      </c>
      <c r="H797" s="186">
        <f>IF(ALECA_Input!$F$13="ICAO (3000ft)",'Aircraft Calc'!D$216,'Aircraft Calc'!H$216)</f>
        <v>2.5</v>
      </c>
      <c r="I797" s="186">
        <f>IF(ALECA_Input!$F$13="ICAO (3000ft)",'Aircraft Calc'!E$216,'Aircraft Calc'!I$216)</f>
        <v>4.5</v>
      </c>
      <c r="J797" s="189">
        <v>1</v>
      </c>
      <c r="K797" s="187">
        <f t="shared" si="205"/>
        <v>24.48</v>
      </c>
      <c r="L797" s="187">
        <f t="shared" si="206"/>
        <v>0.16317000000000001</v>
      </c>
      <c r="M797" s="187">
        <f t="shared" si="207"/>
        <v>0</v>
      </c>
      <c r="N797" s="187">
        <f t="shared" si="208"/>
        <v>7.7618999999999994E-2</v>
      </c>
      <c r="O797" s="187">
        <f t="shared" si="209"/>
        <v>8.5982208000000004E-3</v>
      </c>
      <c r="P797" s="188">
        <f t="shared" si="210"/>
        <v>1.9476289016944096E+17</v>
      </c>
      <c r="Q797" s="187">
        <f t="shared" si="211"/>
        <v>864.14284533452997</v>
      </c>
      <c r="R797" s="219">
        <f t="shared" si="212"/>
        <v>2.0365714285714311</v>
      </c>
      <c r="S797" s="219">
        <f t="shared" si="213"/>
        <v>8.3603743714233048</v>
      </c>
      <c r="T797" s="219">
        <f t="shared" si="214"/>
        <v>49.313851413537023</v>
      </c>
      <c r="U797" s="219">
        <f t="shared" si="215"/>
        <v>0.24814144147147399</v>
      </c>
      <c r="V797" s="188">
        <f t="shared" si="216"/>
        <v>8741228908483196</v>
      </c>
      <c r="W797" s="323">
        <v>8.2000000000000003E-2</v>
      </c>
      <c r="X797" s="323">
        <v>7.2999999999999995E-2</v>
      </c>
      <c r="Y797" s="323">
        <v>4.1000000000000002E-2</v>
      </c>
      <c r="Z797" s="323">
        <v>1.4402380755575501E-2</v>
      </c>
      <c r="AA797" s="323">
        <v>8.1999999999999993</v>
      </c>
      <c r="AB797" s="323">
        <v>7.6000000000000005</v>
      </c>
      <c r="AC797" s="323">
        <v>5.4</v>
      </c>
      <c r="AD797" s="323">
        <v>2.35675321454872</v>
      </c>
      <c r="AE797" s="323">
        <v>0</v>
      </c>
      <c r="AF797" s="323">
        <v>0</v>
      </c>
      <c r="AG797" s="323">
        <v>0</v>
      </c>
      <c r="AH797" s="323">
        <v>9.6747596957616508</v>
      </c>
      <c r="AI797" s="323">
        <v>2.4</v>
      </c>
      <c r="AJ797" s="323">
        <v>2</v>
      </c>
      <c r="AK797" s="323">
        <v>4.5</v>
      </c>
      <c r="AL797" s="323">
        <v>57.066782048570303</v>
      </c>
      <c r="AM797" s="323">
        <v>0.34100000000000003</v>
      </c>
      <c r="AN797" s="323">
        <v>0.34439999999999998</v>
      </c>
      <c r="AO797" s="323">
        <v>0.252</v>
      </c>
      <c r="AP797" s="323">
        <v>0.17849999999999999</v>
      </c>
      <c r="AQ797" s="323">
        <v>0.38995999999999997</v>
      </c>
      <c r="AR797" s="323">
        <v>0.39335999999999999</v>
      </c>
      <c r="AS797" s="323">
        <v>0.30096000000000001</v>
      </c>
      <c r="AT797" s="323">
        <v>0.2871532673228494</v>
      </c>
      <c r="AU797" s="190">
        <v>2243063302460672</v>
      </c>
      <c r="AV797" s="190">
        <v>2845450757660188.5</v>
      </c>
      <c r="AW797" s="190">
        <v>1.428069274155453E+16</v>
      </c>
      <c r="AX797" s="190">
        <v>1.0115490691934458E+16</v>
      </c>
      <c r="AY797" s="203">
        <v>0.2</v>
      </c>
      <c r="BB797" s="204">
        <v>37446</v>
      </c>
      <c r="BC797" s="203" t="s">
        <v>3227</v>
      </c>
    </row>
    <row r="798" spans="1:55" x14ac:dyDescent="0.2">
      <c r="A798" s="184" t="s">
        <v>2853</v>
      </c>
      <c r="B798" s="184" t="s">
        <v>2852</v>
      </c>
      <c r="C798" s="184" t="s">
        <v>723</v>
      </c>
      <c r="D798" s="185" t="s">
        <v>2692</v>
      </c>
      <c r="E798" s="184" t="s">
        <v>2853</v>
      </c>
      <c r="F798" s="184" t="s">
        <v>2853</v>
      </c>
      <c r="G798" s="186">
        <f>IF(ALECA_Input!$F$13="ICAO (3000ft)",'Aircraft Calc'!C$216,'Aircraft Calc'!G$216)</f>
        <v>0.5</v>
      </c>
      <c r="H798" s="186">
        <f>IF(ALECA_Input!$F$13="ICAO (3000ft)",'Aircraft Calc'!D$216,'Aircraft Calc'!H$216)</f>
        <v>2.5</v>
      </c>
      <c r="I798" s="186">
        <f>IF(ALECA_Input!$F$13="ICAO (3000ft)",'Aircraft Calc'!E$216,'Aircraft Calc'!I$216)</f>
        <v>4.5</v>
      </c>
      <c r="J798" s="189">
        <v>1</v>
      </c>
      <c r="K798" s="187">
        <f t="shared" si="205"/>
        <v>20.97</v>
      </c>
      <c r="L798" s="187">
        <f t="shared" si="206"/>
        <v>0.107334</v>
      </c>
      <c r="M798" s="187">
        <f t="shared" si="207"/>
        <v>4.9949999999999994E-3</v>
      </c>
      <c r="N798" s="187">
        <f t="shared" si="208"/>
        <v>0.259911</v>
      </c>
      <c r="O798" s="187">
        <f t="shared" si="209"/>
        <v>6.9013939499999993E-3</v>
      </c>
      <c r="P798" s="188">
        <f t="shared" si="210"/>
        <v>1.5557314016408842E+17</v>
      </c>
      <c r="Q798" s="187">
        <f t="shared" si="211"/>
        <v>1140</v>
      </c>
      <c r="R798" s="219">
        <f t="shared" si="212"/>
        <v>3.1919999999999997</v>
      </c>
      <c r="S798" s="219">
        <f t="shared" si="213"/>
        <v>16.302</v>
      </c>
      <c r="T798" s="219">
        <f t="shared" si="214"/>
        <v>75.353999999999985</v>
      </c>
      <c r="U798" s="219">
        <f t="shared" si="215"/>
        <v>0.35475773999999999</v>
      </c>
      <c r="V798" s="188">
        <f t="shared" si="216"/>
        <v>1.1240945286566492E+16</v>
      </c>
      <c r="W798" s="323">
        <v>6.6000000000000003E-2</v>
      </c>
      <c r="X798" s="323">
        <v>0.06</v>
      </c>
      <c r="Y798" s="323">
        <v>3.6999999999999998E-2</v>
      </c>
      <c r="Z798" s="323">
        <v>1.9E-2</v>
      </c>
      <c r="AA798" s="323">
        <v>6.1</v>
      </c>
      <c r="AB798" s="323">
        <v>5.7</v>
      </c>
      <c r="AC798" s="323">
        <v>4.4000000000000004</v>
      </c>
      <c r="AD798" s="323">
        <v>2.8</v>
      </c>
      <c r="AE798" s="323">
        <v>0</v>
      </c>
      <c r="AF798" s="323">
        <v>0</v>
      </c>
      <c r="AG798" s="323">
        <v>0.5</v>
      </c>
      <c r="AH798" s="323">
        <v>14.3</v>
      </c>
      <c r="AI798" s="323">
        <v>4.7</v>
      </c>
      <c r="AJ798" s="323">
        <v>6.2</v>
      </c>
      <c r="AK798" s="323">
        <v>19.5</v>
      </c>
      <c r="AL798" s="323">
        <v>66.099999999999994</v>
      </c>
      <c r="AM798" s="323">
        <v>0.29920000000000002</v>
      </c>
      <c r="AN798" s="323">
        <v>0.3024</v>
      </c>
      <c r="AO798" s="323">
        <v>0.22819999999999999</v>
      </c>
      <c r="AP798" s="323">
        <v>0.17399999999999999</v>
      </c>
      <c r="AQ798" s="323">
        <v>0.34816000000000003</v>
      </c>
      <c r="AR798" s="323">
        <v>0.35136000000000001</v>
      </c>
      <c r="AS798" s="323">
        <v>0.30528499999999997</v>
      </c>
      <c r="AT798" s="323">
        <v>0.311191</v>
      </c>
      <c r="AU798" s="190">
        <v>1968107155707428.3</v>
      </c>
      <c r="AV798" s="190">
        <v>2498444567701629</v>
      </c>
      <c r="AW798" s="190">
        <v>1.2931960649296602E+16</v>
      </c>
      <c r="AX798" s="190">
        <v>9860478321549556</v>
      </c>
      <c r="AY798" s="203">
        <v>0.2</v>
      </c>
      <c r="BB798" s="204">
        <v>41556</v>
      </c>
      <c r="BC798" s="203" t="s">
        <v>3237</v>
      </c>
    </row>
    <row r="799" spans="1:55" x14ac:dyDescent="0.2">
      <c r="A799" s="184" t="s">
        <v>2855</v>
      </c>
      <c r="B799" s="184" t="s">
        <v>2854</v>
      </c>
      <c r="C799" s="184" t="s">
        <v>723</v>
      </c>
      <c r="D799" s="185" t="s">
        <v>2692</v>
      </c>
      <c r="E799" s="184" t="s">
        <v>2855</v>
      </c>
      <c r="F799" s="184" t="s">
        <v>2855</v>
      </c>
      <c r="G799" s="186">
        <f>IF(ALECA_Input!$F$13="ICAO (3000ft)",'Aircraft Calc'!C$216,'Aircraft Calc'!G$216)</f>
        <v>0.5</v>
      </c>
      <c r="H799" s="186">
        <f>IF(ALECA_Input!$F$13="ICAO (3000ft)",'Aircraft Calc'!D$216,'Aircraft Calc'!H$216)</f>
        <v>2.5</v>
      </c>
      <c r="I799" s="186">
        <f>IF(ALECA_Input!$F$13="ICAO (3000ft)",'Aircraft Calc'!E$216,'Aircraft Calc'!I$216)</f>
        <v>4.5</v>
      </c>
      <c r="J799" s="189">
        <v>1</v>
      </c>
      <c r="K799" s="187">
        <f t="shared" si="205"/>
        <v>22.98</v>
      </c>
      <c r="L799" s="187">
        <f t="shared" si="206"/>
        <v>0.12215700000000002</v>
      </c>
      <c r="M799" s="187">
        <f t="shared" si="207"/>
        <v>5.2649999999999997E-3</v>
      </c>
      <c r="N799" s="187">
        <f t="shared" si="208"/>
        <v>0.26022300000000004</v>
      </c>
      <c r="O799" s="187">
        <f t="shared" si="209"/>
        <v>8.1463270500000007E-3</v>
      </c>
      <c r="P799" s="188">
        <f t="shared" si="210"/>
        <v>1.7919613145475626E+17</v>
      </c>
      <c r="Q799" s="187">
        <f t="shared" si="211"/>
        <v>824.86362509205003</v>
      </c>
      <c r="R799" s="219">
        <f t="shared" si="212"/>
        <v>1.6739999999999982</v>
      </c>
      <c r="S799" s="219">
        <f t="shared" si="213"/>
        <v>21.204949542064551</v>
      </c>
      <c r="T799" s="219">
        <f t="shared" si="214"/>
        <v>126.81298586636011</v>
      </c>
      <c r="U799" s="219">
        <f t="shared" si="215"/>
        <v>0.3172207234003383</v>
      </c>
      <c r="V799" s="188">
        <f t="shared" si="216"/>
        <v>8273783512307611</v>
      </c>
      <c r="W799" s="323">
        <v>7.4999999999999997E-2</v>
      </c>
      <c r="X799" s="323">
        <v>6.8000000000000005E-2</v>
      </c>
      <c r="Y799" s="323">
        <v>3.9E-2</v>
      </c>
      <c r="Z799" s="323">
        <v>1.37477270848675E-2</v>
      </c>
      <c r="AA799" s="323">
        <v>6.5</v>
      </c>
      <c r="AB799" s="323">
        <v>6</v>
      </c>
      <c r="AC799" s="323">
        <v>4.4000000000000004</v>
      </c>
      <c r="AD799" s="323">
        <v>2.0294263791947298</v>
      </c>
      <c r="AE799" s="323">
        <v>0</v>
      </c>
      <c r="AF799" s="323">
        <v>0</v>
      </c>
      <c r="AG799" s="323">
        <v>0.5</v>
      </c>
      <c r="AH799" s="323">
        <v>25.707218620166699</v>
      </c>
      <c r="AI799" s="323">
        <v>3.6</v>
      </c>
      <c r="AJ799" s="323">
        <v>5</v>
      </c>
      <c r="AK799" s="323">
        <v>19.100000000000001</v>
      </c>
      <c r="AL799" s="323">
        <v>153.73812350157701</v>
      </c>
      <c r="AM799" s="323">
        <v>0.33</v>
      </c>
      <c r="AN799" s="323">
        <v>0.33360000000000001</v>
      </c>
      <c r="AO799" s="323">
        <v>0.245</v>
      </c>
      <c r="AP799" s="323">
        <v>0.17699999999999999</v>
      </c>
      <c r="AQ799" s="323">
        <v>0.37896000000000002</v>
      </c>
      <c r="AR799" s="323">
        <v>0.38256000000000001</v>
      </c>
      <c r="AS799" s="323">
        <v>0.32208500000000001</v>
      </c>
      <c r="AT799" s="323">
        <v>0.38457353888642898</v>
      </c>
      <c r="AU799" s="190">
        <v>2170706421736133.8</v>
      </c>
      <c r="AV799" s="190">
        <v>2756220594527988</v>
      </c>
      <c r="AW799" s="190">
        <v>1.3884006832066902E+16</v>
      </c>
      <c r="AX799" s="190">
        <v>1.0030486568472824E+16</v>
      </c>
      <c r="AY799" s="203">
        <v>0.2</v>
      </c>
      <c r="BB799" s="204">
        <v>37446</v>
      </c>
      <c r="BC799" s="203" t="s">
        <v>3227</v>
      </c>
    </row>
    <row r="800" spans="1:55" x14ac:dyDescent="0.2">
      <c r="A800" s="184" t="s">
        <v>232</v>
      </c>
      <c r="B800" s="184" t="s">
        <v>2856</v>
      </c>
      <c r="C800" s="184" t="s">
        <v>723</v>
      </c>
      <c r="D800" s="185" t="s">
        <v>2692</v>
      </c>
      <c r="E800" s="184" t="s">
        <v>232</v>
      </c>
      <c r="F800" s="184" t="s">
        <v>232</v>
      </c>
      <c r="G800" s="186">
        <f>IF(ALECA_Input!$F$13="ICAO (3000ft)",'Aircraft Calc'!C$216,'Aircraft Calc'!G$216)</f>
        <v>0.5</v>
      </c>
      <c r="H800" s="186">
        <f>IF(ALECA_Input!$F$13="ICAO (3000ft)",'Aircraft Calc'!D$216,'Aircraft Calc'!H$216)</f>
        <v>2.5</v>
      </c>
      <c r="I800" s="186">
        <f>IF(ALECA_Input!$F$13="ICAO (3000ft)",'Aircraft Calc'!E$216,'Aircraft Calc'!I$216)</f>
        <v>4.5</v>
      </c>
      <c r="J800" s="189">
        <v>1</v>
      </c>
      <c r="K800" s="187">
        <f t="shared" si="205"/>
        <v>22.98</v>
      </c>
      <c r="L800" s="187">
        <f t="shared" si="206"/>
        <v>0.12215700000000002</v>
      </c>
      <c r="M800" s="187">
        <f t="shared" si="207"/>
        <v>5.2649999999999997E-3</v>
      </c>
      <c r="N800" s="187">
        <f t="shared" si="208"/>
        <v>0.26022300000000004</v>
      </c>
      <c r="O800" s="187">
        <f t="shared" si="209"/>
        <v>8.1463270500000007E-3</v>
      </c>
      <c r="P800" s="188">
        <f t="shared" si="210"/>
        <v>1.7919613145475626E+17</v>
      </c>
      <c r="Q800" s="187">
        <f t="shared" si="211"/>
        <v>824.86362509205003</v>
      </c>
      <c r="R800" s="219">
        <f t="shared" si="212"/>
        <v>1.6739999999999982</v>
      </c>
      <c r="S800" s="219">
        <f t="shared" si="213"/>
        <v>21.204949542064551</v>
      </c>
      <c r="T800" s="219">
        <f t="shared" si="214"/>
        <v>126.81298586636011</v>
      </c>
      <c r="U800" s="219">
        <f t="shared" si="215"/>
        <v>0.3172207234003383</v>
      </c>
      <c r="V800" s="188">
        <f t="shared" si="216"/>
        <v>8273783512307611</v>
      </c>
      <c r="W800" s="323">
        <v>7.4999999999999997E-2</v>
      </c>
      <c r="X800" s="323">
        <v>6.8000000000000005E-2</v>
      </c>
      <c r="Y800" s="323">
        <v>3.9E-2</v>
      </c>
      <c r="Z800" s="323">
        <v>1.37477270848675E-2</v>
      </c>
      <c r="AA800" s="323">
        <v>6.5</v>
      </c>
      <c r="AB800" s="323">
        <v>6</v>
      </c>
      <c r="AC800" s="323">
        <v>4.4000000000000004</v>
      </c>
      <c r="AD800" s="323">
        <v>2.0294263791947298</v>
      </c>
      <c r="AE800" s="323">
        <v>0</v>
      </c>
      <c r="AF800" s="323">
        <v>0</v>
      </c>
      <c r="AG800" s="323">
        <v>0.5</v>
      </c>
      <c r="AH800" s="323">
        <v>25.707218620166699</v>
      </c>
      <c r="AI800" s="323">
        <v>3.6</v>
      </c>
      <c r="AJ800" s="323">
        <v>5</v>
      </c>
      <c r="AK800" s="323">
        <v>19.100000000000001</v>
      </c>
      <c r="AL800" s="323">
        <v>153.73812350157701</v>
      </c>
      <c r="AM800" s="323">
        <v>0.33</v>
      </c>
      <c r="AN800" s="323">
        <v>0.33360000000000001</v>
      </c>
      <c r="AO800" s="323">
        <v>0.245</v>
      </c>
      <c r="AP800" s="323">
        <v>0.17699999999999999</v>
      </c>
      <c r="AQ800" s="323">
        <v>0.37896000000000002</v>
      </c>
      <c r="AR800" s="323">
        <v>0.38256000000000001</v>
      </c>
      <c r="AS800" s="323">
        <v>0.32208500000000001</v>
      </c>
      <c r="AT800" s="323">
        <v>0.38457353888642898</v>
      </c>
      <c r="AU800" s="190">
        <v>2170706421736133.8</v>
      </c>
      <c r="AV800" s="190">
        <v>2756220594527988</v>
      </c>
      <c r="AW800" s="190">
        <v>1.3884006832066902E+16</v>
      </c>
      <c r="AX800" s="190">
        <v>1.0030486568472824E+16</v>
      </c>
      <c r="AY800" s="203">
        <v>0.2</v>
      </c>
      <c r="BB800" s="204">
        <v>37446</v>
      </c>
      <c r="BC800" s="203" t="s">
        <v>3227</v>
      </c>
    </row>
    <row r="801" spans="1:55" x14ac:dyDescent="0.2">
      <c r="A801" s="184" t="s">
        <v>2858</v>
      </c>
      <c r="B801" s="184" t="s">
        <v>2857</v>
      </c>
      <c r="C801" s="184" t="s">
        <v>723</v>
      </c>
      <c r="D801" s="185" t="s">
        <v>2692</v>
      </c>
      <c r="E801" s="184" t="s">
        <v>2858</v>
      </c>
      <c r="F801" s="184" t="s">
        <v>2858</v>
      </c>
      <c r="G801" s="186">
        <f>IF(ALECA_Input!$F$13="ICAO (3000ft)",'Aircraft Calc'!C$216,'Aircraft Calc'!G$216)</f>
        <v>0.5</v>
      </c>
      <c r="H801" s="186">
        <f>IF(ALECA_Input!$F$13="ICAO (3000ft)",'Aircraft Calc'!D$216,'Aircraft Calc'!H$216)</f>
        <v>2.5</v>
      </c>
      <c r="I801" s="186">
        <f>IF(ALECA_Input!$F$13="ICAO (3000ft)",'Aircraft Calc'!E$216,'Aircraft Calc'!I$216)</f>
        <v>4.5</v>
      </c>
      <c r="J801" s="189">
        <v>1</v>
      </c>
      <c r="K801" s="187">
        <f t="shared" si="205"/>
        <v>22.98</v>
      </c>
      <c r="L801" s="187">
        <f t="shared" si="206"/>
        <v>0.12215700000000002</v>
      </c>
      <c r="M801" s="187">
        <f t="shared" si="207"/>
        <v>5.2649999999999997E-3</v>
      </c>
      <c r="N801" s="187">
        <f t="shared" si="208"/>
        <v>0.26022300000000004</v>
      </c>
      <c r="O801" s="187">
        <f t="shared" si="209"/>
        <v>8.1463270500000007E-3</v>
      </c>
      <c r="P801" s="188">
        <f t="shared" si="210"/>
        <v>1.7919613145475626E+17</v>
      </c>
      <c r="Q801" s="187">
        <f t="shared" si="211"/>
        <v>824.86362509205003</v>
      </c>
      <c r="R801" s="219">
        <f t="shared" si="212"/>
        <v>1.6739999999999982</v>
      </c>
      <c r="S801" s="219">
        <f t="shared" si="213"/>
        <v>21.204949542064551</v>
      </c>
      <c r="T801" s="219">
        <f t="shared" si="214"/>
        <v>126.81298586636011</v>
      </c>
      <c r="U801" s="219">
        <f t="shared" si="215"/>
        <v>0.3172207234003383</v>
      </c>
      <c r="V801" s="188">
        <f t="shared" si="216"/>
        <v>8273783512307611</v>
      </c>
      <c r="W801" s="323">
        <v>7.4999999999999997E-2</v>
      </c>
      <c r="X801" s="323">
        <v>6.8000000000000005E-2</v>
      </c>
      <c r="Y801" s="323">
        <v>3.9E-2</v>
      </c>
      <c r="Z801" s="323">
        <v>1.37477270848675E-2</v>
      </c>
      <c r="AA801" s="323">
        <v>6.5</v>
      </c>
      <c r="AB801" s="323">
        <v>6</v>
      </c>
      <c r="AC801" s="323">
        <v>4.4000000000000004</v>
      </c>
      <c r="AD801" s="323">
        <v>2.0294263791947298</v>
      </c>
      <c r="AE801" s="323">
        <v>0</v>
      </c>
      <c r="AF801" s="323">
        <v>0</v>
      </c>
      <c r="AG801" s="323">
        <v>0.5</v>
      </c>
      <c r="AH801" s="323">
        <v>25.707218620166699</v>
      </c>
      <c r="AI801" s="323">
        <v>3.6</v>
      </c>
      <c r="AJ801" s="323">
        <v>5</v>
      </c>
      <c r="AK801" s="323">
        <v>19.100000000000001</v>
      </c>
      <c r="AL801" s="323">
        <v>153.73812350157701</v>
      </c>
      <c r="AM801" s="323">
        <v>0.33</v>
      </c>
      <c r="AN801" s="323">
        <v>0.33360000000000001</v>
      </c>
      <c r="AO801" s="323">
        <v>0.245</v>
      </c>
      <c r="AP801" s="323">
        <v>0.17699999999999999</v>
      </c>
      <c r="AQ801" s="323">
        <v>0.37896000000000002</v>
      </c>
      <c r="AR801" s="323">
        <v>0.38256000000000001</v>
      </c>
      <c r="AS801" s="323">
        <v>0.32208500000000001</v>
      </c>
      <c r="AT801" s="323">
        <v>0.38457353888642898</v>
      </c>
      <c r="AU801" s="190">
        <v>2170706421736133.8</v>
      </c>
      <c r="AV801" s="190">
        <v>2756220594527988</v>
      </c>
      <c r="AW801" s="190">
        <v>1.3884006832066902E+16</v>
      </c>
      <c r="AX801" s="190">
        <v>1.0030486568472824E+16</v>
      </c>
      <c r="AY801" s="203">
        <v>0.2</v>
      </c>
      <c r="BB801" s="204">
        <v>37446</v>
      </c>
      <c r="BC801" s="203" t="s">
        <v>3227</v>
      </c>
    </row>
    <row r="802" spans="1:55" x14ac:dyDescent="0.2">
      <c r="A802" s="184" t="s">
        <v>2860</v>
      </c>
      <c r="B802" s="184" t="s">
        <v>2859</v>
      </c>
      <c r="C802" s="184" t="s">
        <v>723</v>
      </c>
      <c r="D802" s="185" t="s">
        <v>2692</v>
      </c>
      <c r="E802" s="184" t="s">
        <v>2860</v>
      </c>
      <c r="F802" s="184" t="s">
        <v>2860</v>
      </c>
      <c r="G802" s="186">
        <f>IF(ALECA_Input!$F$13="ICAO (3000ft)",'Aircraft Calc'!C$216,'Aircraft Calc'!G$216)</f>
        <v>0.5</v>
      </c>
      <c r="H802" s="186">
        <f>IF(ALECA_Input!$F$13="ICAO (3000ft)",'Aircraft Calc'!D$216,'Aircraft Calc'!H$216)</f>
        <v>2.5</v>
      </c>
      <c r="I802" s="186">
        <f>IF(ALECA_Input!$F$13="ICAO (3000ft)",'Aircraft Calc'!E$216,'Aircraft Calc'!I$216)</f>
        <v>4.5</v>
      </c>
      <c r="J802" s="189">
        <v>1</v>
      </c>
      <c r="K802" s="187">
        <f t="shared" si="205"/>
        <v>20.7</v>
      </c>
      <c r="L802" s="187">
        <f t="shared" si="206"/>
        <v>0.10607399999999999</v>
      </c>
      <c r="M802" s="187">
        <f t="shared" si="207"/>
        <v>5.8319999999999986E-3</v>
      </c>
      <c r="N802" s="187">
        <f t="shared" si="208"/>
        <v>0.26152199999999998</v>
      </c>
      <c r="O802" s="187">
        <f t="shared" si="209"/>
        <v>6.8736420000000001E-3</v>
      </c>
      <c r="P802" s="188">
        <f t="shared" si="210"/>
        <v>1.5208151078877834E+17</v>
      </c>
      <c r="Q802" s="187">
        <f t="shared" si="211"/>
        <v>824.86362509205003</v>
      </c>
      <c r="R802" s="219">
        <f t="shared" si="212"/>
        <v>1.6739999999999982</v>
      </c>
      <c r="S802" s="219">
        <f t="shared" si="213"/>
        <v>20.520918911675349</v>
      </c>
      <c r="T802" s="219">
        <f t="shared" si="214"/>
        <v>126.66032291950376</v>
      </c>
      <c r="U802" s="219">
        <f t="shared" si="215"/>
        <v>0.31052566353556005</v>
      </c>
      <c r="V802" s="188">
        <f t="shared" si="216"/>
        <v>8133549893454940</v>
      </c>
      <c r="W802" s="323">
        <v>6.6000000000000003E-2</v>
      </c>
      <c r="X802" s="323">
        <v>0.06</v>
      </c>
      <c r="Y802" s="323">
        <v>3.5999999999999997E-2</v>
      </c>
      <c r="Z802" s="323">
        <v>1.37477270848675E-2</v>
      </c>
      <c r="AA802" s="323">
        <v>6.1000000000000005</v>
      </c>
      <c r="AB802" s="323">
        <v>5.8</v>
      </c>
      <c r="AC802" s="323">
        <v>4.3</v>
      </c>
      <c r="AD802" s="323">
        <v>2.0294263791947298</v>
      </c>
      <c r="AE802" s="323">
        <v>0</v>
      </c>
      <c r="AF802" s="323">
        <v>0</v>
      </c>
      <c r="AG802" s="323">
        <v>0.6</v>
      </c>
      <c r="AH802" s="323">
        <v>24.877953503387101</v>
      </c>
      <c r="AI802" s="323">
        <v>4.7</v>
      </c>
      <c r="AJ802" s="323">
        <v>6.1000000000000005</v>
      </c>
      <c r="AK802" s="323">
        <v>20.3</v>
      </c>
      <c r="AL802" s="323">
        <v>153.55304691168701</v>
      </c>
      <c r="AM802" s="323">
        <v>0.29920000000000002</v>
      </c>
      <c r="AN802" s="323">
        <v>0.3024</v>
      </c>
      <c r="AO802" s="323">
        <v>0.22819999999999999</v>
      </c>
      <c r="AP802" s="323">
        <v>0.17399999999999999</v>
      </c>
      <c r="AQ802" s="323">
        <v>0.34816000000000003</v>
      </c>
      <c r="AR802" s="323">
        <v>0.35136000000000001</v>
      </c>
      <c r="AS802" s="323">
        <v>0.31091000000000002</v>
      </c>
      <c r="AT802" s="323">
        <v>0.37645697311589799</v>
      </c>
      <c r="AU802" s="190">
        <v>1968107155707428.3</v>
      </c>
      <c r="AV802" s="190">
        <v>2498444567701629</v>
      </c>
      <c r="AW802" s="190">
        <v>1.2931960649296602E+16</v>
      </c>
      <c r="AX802" s="190">
        <v>9860478321549556</v>
      </c>
      <c r="AY802" s="203">
        <v>0.1</v>
      </c>
      <c r="BB802" s="204">
        <v>37446</v>
      </c>
      <c r="BC802" s="203" t="s">
        <v>3227</v>
      </c>
    </row>
    <row r="803" spans="1:55" x14ac:dyDescent="0.2">
      <c r="A803" s="184" t="s">
        <v>334</v>
      </c>
      <c r="B803" s="184" t="s">
        <v>2861</v>
      </c>
      <c r="C803" s="184" t="s">
        <v>723</v>
      </c>
      <c r="D803" s="185" t="s">
        <v>2692</v>
      </c>
      <c r="E803" s="184" t="s">
        <v>334</v>
      </c>
      <c r="F803" s="184" t="s">
        <v>334</v>
      </c>
      <c r="G803" s="186">
        <f>IF(ALECA_Input!$F$13="ICAO (3000ft)",'Aircraft Calc'!C$216,'Aircraft Calc'!G$216)</f>
        <v>0.5</v>
      </c>
      <c r="H803" s="186">
        <f>IF(ALECA_Input!$F$13="ICAO (3000ft)",'Aircraft Calc'!D$216,'Aircraft Calc'!H$216)</f>
        <v>2.5</v>
      </c>
      <c r="I803" s="186">
        <f>IF(ALECA_Input!$F$13="ICAO (3000ft)",'Aircraft Calc'!E$216,'Aircraft Calc'!I$216)</f>
        <v>4.5</v>
      </c>
      <c r="J803" s="189">
        <v>1</v>
      </c>
      <c r="K803" s="187">
        <f t="shared" si="205"/>
        <v>22.14</v>
      </c>
      <c r="L803" s="187">
        <f t="shared" si="206"/>
        <v>0.11727600000000001</v>
      </c>
      <c r="M803" s="187">
        <f t="shared" si="207"/>
        <v>5.13E-3</v>
      </c>
      <c r="N803" s="187">
        <f t="shared" si="208"/>
        <v>0.25578600000000001</v>
      </c>
      <c r="O803" s="187">
        <f t="shared" si="209"/>
        <v>7.5729939E-3</v>
      </c>
      <c r="P803" s="188">
        <f t="shared" si="210"/>
        <v>1.6760565432083587E+17</v>
      </c>
      <c r="Q803" s="187">
        <f t="shared" si="211"/>
        <v>824.86362509205003</v>
      </c>
      <c r="R803" s="219">
        <f t="shared" si="212"/>
        <v>1.6739999999999982</v>
      </c>
      <c r="S803" s="219">
        <f t="shared" si="213"/>
        <v>21.888980172453753</v>
      </c>
      <c r="T803" s="219">
        <f t="shared" si="214"/>
        <v>127.90455181665941</v>
      </c>
      <c r="U803" s="219">
        <f t="shared" si="215"/>
        <v>0.32020389695220153</v>
      </c>
      <c r="V803" s="188">
        <f t="shared" si="216"/>
        <v>8203666702881275</v>
      </c>
      <c r="W803" s="323">
        <v>7.0999999999999994E-2</v>
      </c>
      <c r="X803" s="323">
        <v>6.5000000000000002E-2</v>
      </c>
      <c r="Y803" s="323">
        <v>3.7999999999999999E-2</v>
      </c>
      <c r="Z803" s="323">
        <v>1.37477270848675E-2</v>
      </c>
      <c r="AA803" s="323">
        <v>6.4</v>
      </c>
      <c r="AB803" s="323">
        <v>6</v>
      </c>
      <c r="AC803" s="323">
        <v>4.4000000000000004</v>
      </c>
      <c r="AD803" s="323">
        <v>2.0294263791947298</v>
      </c>
      <c r="AE803" s="323">
        <v>0</v>
      </c>
      <c r="AF803" s="323">
        <v>0</v>
      </c>
      <c r="AG803" s="323">
        <v>0.5</v>
      </c>
      <c r="AH803" s="323">
        <v>26.536483736946298</v>
      </c>
      <c r="AI803" s="323">
        <v>3.8000000000000003</v>
      </c>
      <c r="AJ803" s="323">
        <v>5.2</v>
      </c>
      <c r="AK803" s="323">
        <v>19.2</v>
      </c>
      <c r="AL803" s="323">
        <v>155.06145249450901</v>
      </c>
      <c r="AM803" s="323">
        <v>0.31569999999999998</v>
      </c>
      <c r="AN803" s="323">
        <v>0.318</v>
      </c>
      <c r="AO803" s="323">
        <v>0.2366</v>
      </c>
      <c r="AP803" s="323">
        <v>0.17549999999999999</v>
      </c>
      <c r="AQ803" s="323">
        <v>0.36465999999999998</v>
      </c>
      <c r="AR803" s="323">
        <v>0.36696000000000001</v>
      </c>
      <c r="AS803" s="323">
        <v>0.31368499999999999</v>
      </c>
      <c r="AT803" s="323">
        <v>0.38819010465695902</v>
      </c>
      <c r="AU803" s="190">
        <v>2076642476794234.8</v>
      </c>
      <c r="AV803" s="190">
        <v>2627332581114808.5</v>
      </c>
      <c r="AW803" s="190">
        <v>1.3407983740681752E+16</v>
      </c>
      <c r="AX803" s="190">
        <v>9945482445011190</v>
      </c>
      <c r="AY803" s="203">
        <v>0.2</v>
      </c>
      <c r="BB803" s="204">
        <v>37446</v>
      </c>
      <c r="BC803" s="203" t="s">
        <v>3227</v>
      </c>
    </row>
    <row r="804" spans="1:55" x14ac:dyDescent="0.2">
      <c r="A804" s="184" t="s">
        <v>368</v>
      </c>
      <c r="B804" s="184" t="s">
        <v>2862</v>
      </c>
      <c r="C804" s="184" t="s">
        <v>723</v>
      </c>
      <c r="D804" s="185" t="s">
        <v>2692</v>
      </c>
      <c r="E804" s="184" t="s">
        <v>368</v>
      </c>
      <c r="F804" s="184" t="s">
        <v>368</v>
      </c>
      <c r="G804" s="186">
        <f>IF(ALECA_Input!$F$13="ICAO (3000ft)",'Aircraft Calc'!C$216,'Aircraft Calc'!G$216)</f>
        <v>0.5</v>
      </c>
      <c r="H804" s="186">
        <f>IF(ALECA_Input!$F$13="ICAO (3000ft)",'Aircraft Calc'!D$216,'Aircraft Calc'!H$216)</f>
        <v>2.5</v>
      </c>
      <c r="I804" s="186">
        <f>IF(ALECA_Input!$F$13="ICAO (3000ft)",'Aircraft Calc'!E$216,'Aircraft Calc'!I$216)</f>
        <v>4.5</v>
      </c>
      <c r="J804" s="189">
        <v>1</v>
      </c>
      <c r="K804" s="187">
        <f t="shared" si="205"/>
        <v>20.22</v>
      </c>
      <c r="L804" s="187">
        <f t="shared" si="206"/>
        <v>9.5721000000000001E-2</v>
      </c>
      <c r="M804" s="187">
        <f t="shared" si="207"/>
        <v>8.0063999999999996E-2</v>
      </c>
      <c r="N804" s="187">
        <f t="shared" si="208"/>
        <v>0.4359090000000001</v>
      </c>
      <c r="O804" s="187">
        <f t="shared" si="209"/>
        <v>1.0744743450000002E-2</v>
      </c>
      <c r="P804" s="188">
        <f t="shared" si="210"/>
        <v>1.382481552471025E+17</v>
      </c>
      <c r="Q804" s="187">
        <f t="shared" si="211"/>
        <v>864.14284533452997</v>
      </c>
      <c r="R804" s="219">
        <f t="shared" si="212"/>
        <v>1.4142857142857206</v>
      </c>
      <c r="S804" s="219">
        <f t="shared" si="213"/>
        <v>83.306531093360675</v>
      </c>
      <c r="T804" s="219">
        <f t="shared" si="214"/>
        <v>204.75434563110346</v>
      </c>
      <c r="U804" s="219">
        <f t="shared" si="215"/>
        <v>0.704078157105819</v>
      </c>
      <c r="V804" s="188">
        <f t="shared" si="216"/>
        <v>8373950382916676</v>
      </c>
      <c r="W804" s="323">
        <v>6.4000000000000001E-2</v>
      </c>
      <c r="X804" s="323">
        <v>5.8999999999999997E-2</v>
      </c>
      <c r="Y804" s="323">
        <v>3.5000000000000003E-2</v>
      </c>
      <c r="Z804" s="323">
        <v>1.4402380755575501E-2</v>
      </c>
      <c r="AA804" s="323">
        <v>5.8</v>
      </c>
      <c r="AB804" s="323">
        <v>5.5</v>
      </c>
      <c r="AC804" s="323">
        <v>3.8000000000000003</v>
      </c>
      <c r="AD804" s="323">
        <v>1.6366341767699499</v>
      </c>
      <c r="AE804" s="323">
        <v>0.70000000000000007</v>
      </c>
      <c r="AF804" s="323">
        <v>1.1000000000000001</v>
      </c>
      <c r="AG804" s="323">
        <v>7.3</v>
      </c>
      <c r="AH804" s="323">
        <v>96.403657732201395</v>
      </c>
      <c r="AI804" s="323">
        <v>9.7000000000000011</v>
      </c>
      <c r="AJ804" s="323">
        <v>11.700000000000001</v>
      </c>
      <c r="AK804" s="323">
        <v>33.200000000000003</v>
      </c>
      <c r="AL804" s="323">
        <v>236.94502215295</v>
      </c>
      <c r="AM804" s="323">
        <v>0.27279999999999999</v>
      </c>
      <c r="AN804" s="323">
        <v>0.27479999999999999</v>
      </c>
      <c r="AO804" s="323">
        <v>0.2142</v>
      </c>
      <c r="AP804" s="323">
        <v>0.17100000000000001</v>
      </c>
      <c r="AQ804" s="323">
        <v>0.40226000000000001</v>
      </c>
      <c r="AR804" s="323">
        <v>0.40736</v>
      </c>
      <c r="AS804" s="323">
        <v>0.67378499999999997</v>
      </c>
      <c r="AT804" s="323">
        <v>0.81477056820768301</v>
      </c>
      <c r="AU804" s="190">
        <v>1794450641968537.3</v>
      </c>
      <c r="AV804" s="190">
        <v>2270411928586004</v>
      </c>
      <c r="AW804" s="190">
        <v>1.213858883032135E+16</v>
      </c>
      <c r="AX804" s="190">
        <v>9690470074626288</v>
      </c>
      <c r="AY804" s="203">
        <v>0.1</v>
      </c>
      <c r="BB804" s="204">
        <v>41556</v>
      </c>
      <c r="BC804" s="203" t="s">
        <v>3233</v>
      </c>
    </row>
    <row r="805" spans="1:55" x14ac:dyDescent="0.2">
      <c r="A805" s="184" t="s">
        <v>2864</v>
      </c>
      <c r="B805" s="184" t="s">
        <v>2863</v>
      </c>
      <c r="C805" s="184" t="s">
        <v>723</v>
      </c>
      <c r="D805" s="185" t="s">
        <v>2692</v>
      </c>
      <c r="E805" s="184" t="s">
        <v>2864</v>
      </c>
      <c r="F805" s="184" t="s">
        <v>2864</v>
      </c>
      <c r="G805" s="186">
        <f>IF(ALECA_Input!$F$13="ICAO (3000ft)",'Aircraft Calc'!C$216,'Aircraft Calc'!G$216)</f>
        <v>0.5</v>
      </c>
      <c r="H805" s="186">
        <f>IF(ALECA_Input!$F$13="ICAO (3000ft)",'Aircraft Calc'!D$216,'Aircraft Calc'!H$216)</f>
        <v>2.5</v>
      </c>
      <c r="I805" s="186">
        <f>IF(ALECA_Input!$F$13="ICAO (3000ft)",'Aircraft Calc'!E$216,'Aircraft Calc'!I$216)</f>
        <v>4.5</v>
      </c>
      <c r="J805" s="189">
        <v>1</v>
      </c>
      <c r="K805" s="187">
        <f t="shared" si="205"/>
        <v>26.67</v>
      </c>
      <c r="L805" s="187">
        <f t="shared" si="206"/>
        <v>0.16541399999999998</v>
      </c>
      <c r="M805" s="187">
        <f t="shared" si="207"/>
        <v>3.2774999999999999E-2</v>
      </c>
      <c r="N805" s="187">
        <f t="shared" si="208"/>
        <v>0.27470099999999997</v>
      </c>
      <c r="O805" s="187">
        <f t="shared" si="209"/>
        <v>1.1776514700000001E-2</v>
      </c>
      <c r="P805" s="188">
        <f t="shared" si="210"/>
        <v>2.2671363999431629E+17</v>
      </c>
      <c r="Q805" s="187">
        <f t="shared" si="211"/>
        <v>942.70128581948995</v>
      </c>
      <c r="R805" s="219">
        <f t="shared" si="212"/>
        <v>1.9131428571428637</v>
      </c>
      <c r="S805" s="219">
        <f t="shared" si="213"/>
        <v>45.862625123236597</v>
      </c>
      <c r="T805" s="219">
        <f t="shared" si="214"/>
        <v>143.84785739098226</v>
      </c>
      <c r="U805" s="219">
        <f t="shared" si="215"/>
        <v>0.50022733534032915</v>
      </c>
      <c r="V805" s="188">
        <f t="shared" si="216"/>
        <v>9696153074956178</v>
      </c>
      <c r="W805" s="323">
        <v>8.8999999999999996E-2</v>
      </c>
      <c r="X805" s="323">
        <v>7.9000000000000001E-2</v>
      </c>
      <c r="Y805" s="323">
        <v>4.4999999999999998E-2</v>
      </c>
      <c r="Z805" s="323">
        <v>1.57116880969915E-2</v>
      </c>
      <c r="AA805" s="323">
        <v>7.7</v>
      </c>
      <c r="AB805" s="323">
        <v>7.2</v>
      </c>
      <c r="AC805" s="323">
        <v>4.9000000000000004</v>
      </c>
      <c r="AD805" s="323">
        <v>2.0294263791947298</v>
      </c>
      <c r="AE805" s="323">
        <v>0</v>
      </c>
      <c r="AF805" s="323">
        <v>0.1</v>
      </c>
      <c r="AG805" s="323">
        <v>2.6</v>
      </c>
      <c r="AH805" s="323">
        <v>48.650220184401498</v>
      </c>
      <c r="AI805" s="323">
        <v>2.8000000000000003</v>
      </c>
      <c r="AJ805" s="323">
        <v>4.3</v>
      </c>
      <c r="AK805" s="323">
        <v>17.8</v>
      </c>
      <c r="AL805" s="323">
        <v>152.59113311374699</v>
      </c>
      <c r="AM805" s="323">
        <v>0.36520000000000002</v>
      </c>
      <c r="AN805" s="323">
        <v>0.36959999999999998</v>
      </c>
      <c r="AO805" s="323">
        <v>0.26740000000000003</v>
      </c>
      <c r="AP805" s="323">
        <v>0.18149999999999999</v>
      </c>
      <c r="AQ805" s="323">
        <v>0.41415999999999997</v>
      </c>
      <c r="AR805" s="323">
        <v>0.42615999999999998</v>
      </c>
      <c r="AS805" s="323">
        <v>0.46261000000000002</v>
      </c>
      <c r="AT805" s="323">
        <v>0.53063185853775696</v>
      </c>
      <c r="AU805" s="190">
        <v>2402248440054655</v>
      </c>
      <c r="AV805" s="190">
        <v>3053654471635324.5</v>
      </c>
      <c r="AW805" s="190">
        <v>1.5153401742427306E+16</v>
      </c>
      <c r="AX805" s="190">
        <v>1.0285498938857726E+16</v>
      </c>
      <c r="AY805" s="203">
        <v>0.2</v>
      </c>
      <c r="BB805" s="204">
        <v>37446</v>
      </c>
      <c r="BC805" s="203" t="s">
        <v>3227</v>
      </c>
    </row>
    <row r="806" spans="1:55" x14ac:dyDescent="0.2">
      <c r="A806" s="184" t="s">
        <v>359</v>
      </c>
      <c r="B806" s="184" t="s">
        <v>2865</v>
      </c>
      <c r="C806" s="184" t="s">
        <v>723</v>
      </c>
      <c r="D806" s="185" t="s">
        <v>2692</v>
      </c>
      <c r="E806" s="184" t="s">
        <v>359</v>
      </c>
      <c r="F806" s="184" t="s">
        <v>359</v>
      </c>
      <c r="G806" s="186">
        <f>IF(ALECA_Input!$F$13="ICAO (3000ft)",'Aircraft Calc'!C$216,'Aircraft Calc'!G$216)</f>
        <v>0.5</v>
      </c>
      <c r="H806" s="186">
        <f>IF(ALECA_Input!$F$13="ICAO (3000ft)",'Aircraft Calc'!D$216,'Aircraft Calc'!H$216)</f>
        <v>2.5</v>
      </c>
      <c r="I806" s="186">
        <f>IF(ALECA_Input!$F$13="ICAO (3000ft)",'Aircraft Calc'!E$216,'Aircraft Calc'!I$216)</f>
        <v>4.5</v>
      </c>
      <c r="J806" s="189">
        <v>1</v>
      </c>
      <c r="K806" s="187">
        <f t="shared" si="205"/>
        <v>28.17</v>
      </c>
      <c r="L806" s="187">
        <f t="shared" si="206"/>
        <v>0.18127800000000002</v>
      </c>
      <c r="M806" s="187">
        <f t="shared" si="207"/>
        <v>2.7918000000000002E-2</v>
      </c>
      <c r="N806" s="187">
        <f t="shared" si="208"/>
        <v>0.25514999999999999</v>
      </c>
      <c r="O806" s="187">
        <f t="shared" si="209"/>
        <v>1.24288587E-2</v>
      </c>
      <c r="P806" s="188">
        <f t="shared" si="210"/>
        <v>2.4675852718814595E+17</v>
      </c>
      <c r="Q806" s="187">
        <f t="shared" si="211"/>
        <v>981.98050606197012</v>
      </c>
      <c r="R806" s="219">
        <f t="shared" si="212"/>
        <v>2.0571428571428694</v>
      </c>
      <c r="S806" s="219">
        <f t="shared" si="213"/>
        <v>42.616194036151413</v>
      </c>
      <c r="T806" s="219">
        <f t="shared" si="214"/>
        <v>140.19367321303031</v>
      </c>
      <c r="U806" s="219">
        <f t="shared" si="215"/>
        <v>0.4907221153891887</v>
      </c>
      <c r="V806" s="188">
        <f t="shared" si="216"/>
        <v>1.0183631845253576E+16</v>
      </c>
      <c r="W806" s="323">
        <v>9.6000000000000002E-2</v>
      </c>
      <c r="X806" s="323">
        <v>8.4000000000000005E-2</v>
      </c>
      <c r="Y806" s="323">
        <v>4.7E-2</v>
      </c>
      <c r="Z806" s="323">
        <v>1.6366341767699501E-2</v>
      </c>
      <c r="AA806" s="323">
        <v>8.1</v>
      </c>
      <c r="AB806" s="323">
        <v>7.5</v>
      </c>
      <c r="AC806" s="323">
        <v>5</v>
      </c>
      <c r="AD806" s="323">
        <v>2.0948917462655299</v>
      </c>
      <c r="AE806" s="323">
        <v>0</v>
      </c>
      <c r="AF806" s="323">
        <v>0</v>
      </c>
      <c r="AG806" s="323">
        <v>2.2000000000000002</v>
      </c>
      <c r="AH806" s="323">
        <v>43.398207778130804</v>
      </c>
      <c r="AI806" s="323">
        <v>1.9000000000000001</v>
      </c>
      <c r="AJ806" s="323">
        <v>3.5</v>
      </c>
      <c r="AK806" s="323">
        <v>16.2</v>
      </c>
      <c r="AL806" s="323">
        <v>142.76624876724699</v>
      </c>
      <c r="AM806" s="323">
        <v>0.3795</v>
      </c>
      <c r="AN806" s="323">
        <v>0.38640000000000002</v>
      </c>
      <c r="AO806" s="323">
        <v>0.2772</v>
      </c>
      <c r="AP806" s="323">
        <v>0.183</v>
      </c>
      <c r="AQ806" s="323">
        <v>0.42846000000000001</v>
      </c>
      <c r="AR806" s="323">
        <v>0.43536000000000002</v>
      </c>
      <c r="AS806" s="323">
        <v>0.44990999999999998</v>
      </c>
      <c r="AT806" s="323">
        <v>0.49972694199106699</v>
      </c>
      <c r="AU806" s="190">
        <v>2496312384996554</v>
      </c>
      <c r="AV806" s="190">
        <v>3192456947618748.5</v>
      </c>
      <c r="AW806" s="190">
        <v>1.570876201570998E+16</v>
      </c>
      <c r="AX806" s="190">
        <v>1.037050306231936E+16</v>
      </c>
      <c r="AY806" s="203">
        <v>0.2</v>
      </c>
      <c r="BB806" s="204">
        <v>37446</v>
      </c>
      <c r="BC806" s="203" t="s">
        <v>3227</v>
      </c>
    </row>
    <row r="807" spans="1:55" x14ac:dyDescent="0.2">
      <c r="A807" s="184" t="s">
        <v>2867</v>
      </c>
      <c r="B807" s="184" t="s">
        <v>2866</v>
      </c>
      <c r="C807" s="184" t="s">
        <v>723</v>
      </c>
      <c r="D807" s="185" t="s">
        <v>2692</v>
      </c>
      <c r="E807" s="184" t="s">
        <v>2867</v>
      </c>
      <c r="F807" s="184" t="s">
        <v>2867</v>
      </c>
      <c r="G807" s="186">
        <f>IF(ALECA_Input!$F$13="ICAO (3000ft)",'Aircraft Calc'!C$216,'Aircraft Calc'!G$216)</f>
        <v>0.5</v>
      </c>
      <c r="H807" s="186">
        <f>IF(ALECA_Input!$F$13="ICAO (3000ft)",'Aircraft Calc'!D$216,'Aircraft Calc'!H$216)</f>
        <v>2.5</v>
      </c>
      <c r="I807" s="186">
        <f>IF(ALECA_Input!$F$13="ICAO (3000ft)",'Aircraft Calc'!E$216,'Aircraft Calc'!I$216)</f>
        <v>4.5</v>
      </c>
      <c r="J807" s="189">
        <v>1</v>
      </c>
      <c r="K807" s="187">
        <f t="shared" si="205"/>
        <v>24.36</v>
      </c>
      <c r="L807" s="187">
        <f t="shared" si="206"/>
        <v>0.140346</v>
      </c>
      <c r="M807" s="187">
        <f t="shared" si="207"/>
        <v>4.2056999999999997E-2</v>
      </c>
      <c r="N807" s="187">
        <f t="shared" si="208"/>
        <v>0.31239899999999998</v>
      </c>
      <c r="O807" s="187">
        <f t="shared" si="209"/>
        <v>1.08855471E-2</v>
      </c>
      <c r="P807" s="188">
        <f t="shared" si="210"/>
        <v>1.9551832378549568E+17</v>
      </c>
      <c r="Q807" s="187">
        <f t="shared" si="211"/>
        <v>903.42206557701002</v>
      </c>
      <c r="R807" s="219">
        <f t="shared" si="212"/>
        <v>1.7151428571428657</v>
      </c>
      <c r="S807" s="219">
        <f t="shared" si="213"/>
        <v>51.292032358292332</v>
      </c>
      <c r="T807" s="219">
        <f t="shared" si="214"/>
        <v>150.664824651304</v>
      </c>
      <c r="U807" s="219">
        <f t="shared" si="215"/>
        <v>0.52060908958844443</v>
      </c>
      <c r="V807" s="188">
        <f t="shared" si="216"/>
        <v>9061762894432174</v>
      </c>
      <c r="W807" s="323">
        <v>7.9000000000000001E-2</v>
      </c>
      <c r="X807" s="323">
        <v>7.0999999999999994E-2</v>
      </c>
      <c r="Y807" s="323">
        <v>4.2000000000000003E-2</v>
      </c>
      <c r="Z807" s="323">
        <v>1.50570344262835E-2</v>
      </c>
      <c r="AA807" s="323">
        <v>7.1000000000000005</v>
      </c>
      <c r="AB807" s="323">
        <v>6.7</v>
      </c>
      <c r="AC807" s="323">
        <v>4.6000000000000005</v>
      </c>
      <c r="AD807" s="323">
        <v>1.8984956450531401</v>
      </c>
      <c r="AE807" s="323">
        <v>0.1</v>
      </c>
      <c r="AF807" s="323">
        <v>0.2</v>
      </c>
      <c r="AG807" s="323">
        <v>3.5</v>
      </c>
      <c r="AH807" s="323">
        <v>56.775270731883701</v>
      </c>
      <c r="AI807" s="323">
        <v>4.4000000000000004</v>
      </c>
      <c r="AJ807" s="323">
        <v>6.1000000000000005</v>
      </c>
      <c r="AK807" s="323">
        <v>20.900000000000002</v>
      </c>
      <c r="AL807" s="323">
        <v>166.77124722991499</v>
      </c>
      <c r="AM807" s="323">
        <v>0.33879999999999999</v>
      </c>
      <c r="AN807" s="323">
        <v>0.34200000000000003</v>
      </c>
      <c r="AO807" s="323">
        <v>0.2492</v>
      </c>
      <c r="AP807" s="323">
        <v>0.17699999999999999</v>
      </c>
      <c r="AQ807" s="323">
        <v>0.39926</v>
      </c>
      <c r="AR807" s="323">
        <v>0.40616000000000002</v>
      </c>
      <c r="AS807" s="323">
        <v>0.495035</v>
      </c>
      <c r="AT807" s="323">
        <v>0.57626342041572198</v>
      </c>
      <c r="AU807" s="190">
        <v>2228591926315764.3</v>
      </c>
      <c r="AV807" s="190">
        <v>2825621832519699.5</v>
      </c>
      <c r="AW807" s="190">
        <v>1.412201837775948E+16</v>
      </c>
      <c r="AX807" s="190">
        <v>1.0030486568472824E+16</v>
      </c>
      <c r="AY807" s="203">
        <v>0.2</v>
      </c>
      <c r="BB807" s="204">
        <v>37446</v>
      </c>
      <c r="BC807" s="203" t="s">
        <v>3227</v>
      </c>
    </row>
    <row r="808" spans="1:55" x14ac:dyDescent="0.2">
      <c r="A808" s="184" t="s">
        <v>2869</v>
      </c>
      <c r="B808" s="184" t="s">
        <v>2868</v>
      </c>
      <c r="C808" s="184" t="s">
        <v>723</v>
      </c>
      <c r="D808" s="185" t="s">
        <v>2692</v>
      </c>
      <c r="E808" s="184" t="s">
        <v>2869</v>
      </c>
      <c r="F808" s="184" t="s">
        <v>2869</v>
      </c>
      <c r="G808" s="186">
        <f>IF(ALECA_Input!$F$13="ICAO (3000ft)",'Aircraft Calc'!C$216,'Aircraft Calc'!G$216)</f>
        <v>0.5</v>
      </c>
      <c r="H808" s="186">
        <f>IF(ALECA_Input!$F$13="ICAO (3000ft)",'Aircraft Calc'!D$216,'Aircraft Calc'!H$216)</f>
        <v>2.5</v>
      </c>
      <c r="I808" s="186">
        <f>IF(ALECA_Input!$F$13="ICAO (3000ft)",'Aircraft Calc'!E$216,'Aircraft Calc'!I$216)</f>
        <v>4.5</v>
      </c>
      <c r="J808" s="189">
        <v>1</v>
      </c>
      <c r="K808" s="187">
        <f t="shared" ref="K808:K843" si="217">(G808*W808*60+H808*X808*60+I808*Y808*60)</f>
        <v>27.509999999999998</v>
      </c>
      <c r="L808" s="187">
        <f t="shared" ref="L808:L843" si="218">(G808*W808*60*AA808+H808*X808*60*AB808+I808*Y808*60*AC808)/1000</f>
        <v>0.17516100000000001</v>
      </c>
      <c r="M808" s="187">
        <f t="shared" ref="M808:M843" si="219">(G808*W808*60*AE808+H808*X808*60*AF808+I808*Y808*60*AG808)/1000</f>
        <v>3.1038E-2</v>
      </c>
      <c r="N808" s="187">
        <f t="shared" ref="N808:N843" si="220">(G808*W808*60*AI808+H808*X808*60*AJ808+I808*Y808*60*AK808)/1000</f>
        <v>0.26153399999999999</v>
      </c>
      <c r="O808" s="187">
        <f t="shared" ref="O808:O843" si="221">(G808*W808*60*AQ808+H808*X808*60*AR808+I808*Y808*60*AS808)/1000</f>
        <v>1.2230109599999999E-2</v>
      </c>
      <c r="P808" s="188">
        <f t="shared" ref="P808:P843" si="222">(G808*W808*60*AU808+H808*X808*60*AV808+I808*Y808*60*AW808)</f>
        <v>2.3766797555078643E+17</v>
      </c>
      <c r="Q808" s="187">
        <f t="shared" ref="Q808:Q843" si="223">J808*Z808*60*1000</f>
        <v>981.98050606197012</v>
      </c>
      <c r="R808" s="219">
        <f t="shared" ref="R808:R843" si="224">J808*Z808*60*AD808</f>
        <v>1.9928571428571524</v>
      </c>
      <c r="S808" s="219">
        <f t="shared" ref="S808:S843" si="225">J808*Z808*60*AH808</f>
        <v>44.244838394220849</v>
      </c>
      <c r="T808" s="219">
        <f t="shared" ref="T808:T843" si="226">J808*Z808*60*AL808</f>
        <v>142.68577957696951</v>
      </c>
      <c r="U808" s="219">
        <f t="shared" ref="U808:U843" si="227">J808*Z808*60*AT808</f>
        <v>0.50077085107847752</v>
      </c>
      <c r="V808" s="188">
        <f t="shared" ref="V808:V843" si="228">J808*Z808*60*AX808</f>
        <v>1.0183631845253576E+16</v>
      </c>
      <c r="W808" s="323">
        <v>9.2999999999999999E-2</v>
      </c>
      <c r="X808" s="323">
        <v>8.2000000000000003E-2</v>
      </c>
      <c r="Y808" s="323">
        <v>4.5999999999999999E-2</v>
      </c>
      <c r="Z808" s="323">
        <v>1.6366341767699501E-2</v>
      </c>
      <c r="AA808" s="323">
        <v>7.9</v>
      </c>
      <c r="AB808" s="323">
        <v>7.4</v>
      </c>
      <c r="AC808" s="323">
        <v>5</v>
      </c>
      <c r="AD808" s="323">
        <v>2.0294263791947298</v>
      </c>
      <c r="AE808" s="323">
        <v>0</v>
      </c>
      <c r="AF808" s="323">
        <v>0.1</v>
      </c>
      <c r="AG808" s="323">
        <v>2.4</v>
      </c>
      <c r="AH808" s="323">
        <v>45.056738011689902</v>
      </c>
      <c r="AI808" s="323">
        <v>2.2000000000000002</v>
      </c>
      <c r="AJ808" s="323">
        <v>3.8000000000000003</v>
      </c>
      <c r="AK808" s="323">
        <v>16.8</v>
      </c>
      <c r="AL808" s="323">
        <v>145.304085667832</v>
      </c>
      <c r="AM808" s="323">
        <v>0.374</v>
      </c>
      <c r="AN808" s="323">
        <v>0.38040000000000002</v>
      </c>
      <c r="AO808" s="323">
        <v>0.27300000000000002</v>
      </c>
      <c r="AP808" s="323">
        <v>0.183</v>
      </c>
      <c r="AQ808" s="323">
        <v>0.42296</v>
      </c>
      <c r="AR808" s="323">
        <v>0.43696000000000002</v>
      </c>
      <c r="AS808" s="323">
        <v>0.45695999999999998</v>
      </c>
      <c r="AT808" s="323">
        <v>0.50996007353212702</v>
      </c>
      <c r="AU808" s="190">
        <v>2460133944634285</v>
      </c>
      <c r="AV808" s="190">
        <v>3142884634767525.5</v>
      </c>
      <c r="AW808" s="190">
        <v>1.5470750470017406E+16</v>
      </c>
      <c r="AX808" s="190">
        <v>1.037050306231936E+16</v>
      </c>
      <c r="AY808" s="203">
        <v>0.2</v>
      </c>
      <c r="BB808" s="204">
        <v>37446</v>
      </c>
      <c r="BC808" s="203" t="s">
        <v>3227</v>
      </c>
    </row>
    <row r="809" spans="1:55" x14ac:dyDescent="0.2">
      <c r="A809" s="184" t="s">
        <v>328</v>
      </c>
      <c r="B809" s="184" t="s">
        <v>2870</v>
      </c>
      <c r="C809" s="184" t="s">
        <v>723</v>
      </c>
      <c r="D809" s="185" t="s">
        <v>2692</v>
      </c>
      <c r="E809" s="184" t="s">
        <v>328</v>
      </c>
      <c r="F809" s="184" t="s">
        <v>328</v>
      </c>
      <c r="G809" s="186">
        <f>IF(ALECA_Input!$F$13="ICAO (3000ft)",'Aircraft Calc'!C$216,'Aircraft Calc'!G$216)</f>
        <v>0.5</v>
      </c>
      <c r="H809" s="186">
        <f>IF(ALECA_Input!$F$13="ICAO (3000ft)",'Aircraft Calc'!D$216,'Aircraft Calc'!H$216)</f>
        <v>2.5</v>
      </c>
      <c r="I809" s="186">
        <f>IF(ALECA_Input!$F$13="ICAO (3000ft)",'Aircraft Calc'!E$216,'Aircraft Calc'!I$216)</f>
        <v>4.5</v>
      </c>
      <c r="J809" s="189">
        <v>1</v>
      </c>
      <c r="K809" s="187">
        <f t="shared" si="217"/>
        <v>22.14</v>
      </c>
      <c r="L809" s="187">
        <f t="shared" si="218"/>
        <v>0.11279699999999999</v>
      </c>
      <c r="M809" s="187">
        <f t="shared" si="219"/>
        <v>6.6159000000000009E-2</v>
      </c>
      <c r="N809" s="187">
        <f t="shared" si="220"/>
        <v>0.39922200000000002</v>
      </c>
      <c r="O809" s="187">
        <f t="shared" si="221"/>
        <v>1.0917294899999999E-2</v>
      </c>
      <c r="P809" s="188">
        <f t="shared" si="222"/>
        <v>1.6123381903853085E+17</v>
      </c>
      <c r="Q809" s="187">
        <f t="shared" si="223"/>
        <v>903.42206557701002</v>
      </c>
      <c r="R809" s="219">
        <f t="shared" si="224"/>
        <v>1.5377142857142878</v>
      </c>
      <c r="S809" s="219">
        <f t="shared" si="225"/>
        <v>74.811435013288161</v>
      </c>
      <c r="T809" s="219">
        <f t="shared" si="226"/>
        <v>195.26521620723236</v>
      </c>
      <c r="U809" s="219">
        <f t="shared" si="227"/>
        <v>0.66301353777303851</v>
      </c>
      <c r="V809" s="188">
        <f t="shared" si="228"/>
        <v>8908173692831628</v>
      </c>
      <c r="W809" s="323">
        <v>7.0999999999999994E-2</v>
      </c>
      <c r="X809" s="323">
        <v>6.5000000000000002E-2</v>
      </c>
      <c r="Y809" s="323">
        <v>3.7999999999999999E-2</v>
      </c>
      <c r="Z809" s="323">
        <v>1.50570344262835E-2</v>
      </c>
      <c r="AA809" s="323">
        <v>6.2</v>
      </c>
      <c r="AB809" s="323">
        <v>5.9</v>
      </c>
      <c r="AC809" s="323">
        <v>4.0999999999999996</v>
      </c>
      <c r="AD809" s="323">
        <v>1.70209954384074</v>
      </c>
      <c r="AE809" s="323">
        <v>0.4</v>
      </c>
      <c r="AF809" s="323">
        <v>0.70000000000000007</v>
      </c>
      <c r="AG809" s="323">
        <v>5.7</v>
      </c>
      <c r="AH809" s="323">
        <v>82.808952607889395</v>
      </c>
      <c r="AI809" s="323">
        <v>7.6000000000000005</v>
      </c>
      <c r="AJ809" s="323">
        <v>9.4</v>
      </c>
      <c r="AK809" s="323">
        <v>28.400000000000002</v>
      </c>
      <c r="AL809" s="323">
        <v>216.139525087333</v>
      </c>
      <c r="AM809" s="323">
        <v>0.29920000000000002</v>
      </c>
      <c r="AN809" s="323">
        <v>0.3024</v>
      </c>
      <c r="AO809" s="323">
        <v>0.22819999999999999</v>
      </c>
      <c r="AP809" s="323">
        <v>0.17399999999999999</v>
      </c>
      <c r="AQ809" s="323">
        <v>0.39416000000000001</v>
      </c>
      <c r="AR809" s="323">
        <v>0.40455999999999998</v>
      </c>
      <c r="AS809" s="323">
        <v>0.59778500000000001</v>
      </c>
      <c r="AT809" s="323">
        <v>0.73389123759067798</v>
      </c>
      <c r="AU809" s="190">
        <v>1968107155707428.3</v>
      </c>
      <c r="AV809" s="190">
        <v>2498444567701629</v>
      </c>
      <c r="AW809" s="190">
        <v>1.2931960649296602E+16</v>
      </c>
      <c r="AX809" s="190">
        <v>9860478321549556</v>
      </c>
      <c r="AY809" s="203">
        <v>0.1</v>
      </c>
      <c r="BB809" s="204">
        <v>37446</v>
      </c>
      <c r="BC809" s="203" t="s">
        <v>3227</v>
      </c>
    </row>
    <row r="810" spans="1:55" x14ac:dyDescent="0.2">
      <c r="A810" s="184" t="s">
        <v>2872</v>
      </c>
      <c r="B810" s="184" t="s">
        <v>2871</v>
      </c>
      <c r="C810" s="184" t="s">
        <v>723</v>
      </c>
      <c r="D810" s="185" t="s">
        <v>2692</v>
      </c>
      <c r="E810" s="184" t="s">
        <v>2872</v>
      </c>
      <c r="F810" s="184" t="s">
        <v>2872</v>
      </c>
      <c r="G810" s="186">
        <f>IF(ALECA_Input!$F$13="ICAO (3000ft)",'Aircraft Calc'!C$216,'Aircraft Calc'!G$216)</f>
        <v>0.5</v>
      </c>
      <c r="H810" s="186">
        <f>IF(ALECA_Input!$F$13="ICAO (3000ft)",'Aircraft Calc'!D$216,'Aircraft Calc'!H$216)</f>
        <v>2.5</v>
      </c>
      <c r="I810" s="186">
        <f>IF(ALECA_Input!$F$13="ICAO (3000ft)",'Aircraft Calc'!E$216,'Aircraft Calc'!I$216)</f>
        <v>4.5</v>
      </c>
      <c r="J810" s="189">
        <v>1</v>
      </c>
      <c r="K810" s="187">
        <f t="shared" si="217"/>
        <v>26.61</v>
      </c>
      <c r="L810" s="187">
        <f t="shared" si="218"/>
        <v>0.155031</v>
      </c>
      <c r="M810" s="187">
        <f t="shared" si="219"/>
        <v>1.2149999999999999E-3</v>
      </c>
      <c r="N810" s="187">
        <f t="shared" si="220"/>
        <v>0.202626</v>
      </c>
      <c r="O810" s="187">
        <f t="shared" si="221"/>
        <v>9.6600793499999997E-3</v>
      </c>
      <c r="P810" s="188">
        <f t="shared" si="222"/>
        <v>2.1926685258112275E+17</v>
      </c>
      <c r="Q810" s="187">
        <f t="shared" si="223"/>
        <v>981.98050606197012</v>
      </c>
      <c r="R810" s="219">
        <f t="shared" si="224"/>
        <v>2.1214285714285861</v>
      </c>
      <c r="S810" s="219">
        <f t="shared" si="225"/>
        <v>13.572036317245679</v>
      </c>
      <c r="T810" s="219">
        <f t="shared" si="226"/>
        <v>128.1925608962957</v>
      </c>
      <c r="U810" s="219">
        <f t="shared" si="227"/>
        <v>0.3085737207453545</v>
      </c>
      <c r="V810" s="188">
        <f t="shared" si="228"/>
        <v>1.0016687060905156E+16</v>
      </c>
      <c r="W810" s="323">
        <v>8.6999999999999994E-2</v>
      </c>
      <c r="X810" s="323">
        <v>7.9000000000000001E-2</v>
      </c>
      <c r="Y810" s="323">
        <v>4.4999999999999998E-2</v>
      </c>
      <c r="Z810" s="323">
        <v>1.6366341767699501E-2</v>
      </c>
      <c r="AA810" s="323">
        <v>7.1000000000000005</v>
      </c>
      <c r="AB810" s="323">
        <v>6.7</v>
      </c>
      <c r="AC810" s="323">
        <v>4.7</v>
      </c>
      <c r="AD810" s="323">
        <v>2.16035711333633</v>
      </c>
      <c r="AE810" s="323">
        <v>0</v>
      </c>
      <c r="AF810" s="323">
        <v>0</v>
      </c>
      <c r="AG810" s="323">
        <v>0.1</v>
      </c>
      <c r="AH810" s="323">
        <v>13.821085279659499</v>
      </c>
      <c r="AI810" s="323">
        <v>2.1</v>
      </c>
      <c r="AJ810" s="323">
        <v>3</v>
      </c>
      <c r="AK810" s="323">
        <v>13.3</v>
      </c>
      <c r="AL810" s="323">
        <v>130.544914186113</v>
      </c>
      <c r="AM810" s="323">
        <v>0.35199999999999998</v>
      </c>
      <c r="AN810" s="323">
        <v>0.35639999999999999</v>
      </c>
      <c r="AO810" s="323">
        <v>0.25900000000000001</v>
      </c>
      <c r="AP810" s="323">
        <v>0.18</v>
      </c>
      <c r="AQ810" s="323">
        <v>0.40095999999999998</v>
      </c>
      <c r="AR810" s="323">
        <v>0.40536</v>
      </c>
      <c r="AS810" s="323">
        <v>0.313585</v>
      </c>
      <c r="AT810" s="323">
        <v>0.31423609617549908</v>
      </c>
      <c r="AU810" s="190">
        <v>2315420183185209.5</v>
      </c>
      <c r="AV810" s="190">
        <v>2944595383362634.5</v>
      </c>
      <c r="AW810" s="190">
        <v>1.4677378651042154E+16</v>
      </c>
      <c r="AX810" s="190">
        <v>1.0200494815396092E+16</v>
      </c>
      <c r="AY810" s="203">
        <v>0.2</v>
      </c>
      <c r="BB810" s="204">
        <v>37446</v>
      </c>
      <c r="BC810" s="203" t="s">
        <v>3227</v>
      </c>
    </row>
    <row r="811" spans="1:55" x14ac:dyDescent="0.2">
      <c r="A811" s="184" t="s">
        <v>2874</v>
      </c>
      <c r="B811" s="184" t="s">
        <v>2873</v>
      </c>
      <c r="C811" s="184" t="s">
        <v>723</v>
      </c>
      <c r="D811" s="185" t="s">
        <v>2692</v>
      </c>
      <c r="E811" s="184" t="s">
        <v>2874</v>
      </c>
      <c r="F811" s="184" t="s">
        <v>2874</v>
      </c>
      <c r="G811" s="186">
        <f>IF(ALECA_Input!$F$13="ICAO (3000ft)",'Aircraft Calc'!C$216,'Aircraft Calc'!G$216)</f>
        <v>0.5</v>
      </c>
      <c r="H811" s="186">
        <f>IF(ALECA_Input!$F$13="ICAO (3000ft)",'Aircraft Calc'!D$216,'Aircraft Calc'!H$216)</f>
        <v>2.5</v>
      </c>
      <c r="I811" s="186">
        <f>IF(ALECA_Input!$F$13="ICAO (3000ft)",'Aircraft Calc'!E$216,'Aircraft Calc'!I$216)</f>
        <v>4.5</v>
      </c>
      <c r="J811" s="189">
        <v>1</v>
      </c>
      <c r="K811" s="187">
        <f t="shared" si="217"/>
        <v>26.61</v>
      </c>
      <c r="L811" s="187">
        <f t="shared" si="218"/>
        <v>0.15260099999999999</v>
      </c>
      <c r="M811" s="187">
        <f t="shared" si="219"/>
        <v>4.2726E-2</v>
      </c>
      <c r="N811" s="187">
        <f t="shared" si="220"/>
        <v>0.33076499999999998</v>
      </c>
      <c r="O811" s="187">
        <f t="shared" si="221"/>
        <v>1.205721435E-2</v>
      </c>
      <c r="P811" s="188">
        <f t="shared" si="222"/>
        <v>2.1926685258112275E+17</v>
      </c>
      <c r="Q811" s="187">
        <f t="shared" si="223"/>
        <v>981.98050606197012</v>
      </c>
      <c r="R811" s="219">
        <f t="shared" si="224"/>
        <v>1.8000000000000118</v>
      </c>
      <c r="S811" s="219">
        <f t="shared" si="225"/>
        <v>60.366701432964014</v>
      </c>
      <c r="T811" s="219">
        <f t="shared" si="226"/>
        <v>177.72503151012535</v>
      </c>
      <c r="U811" s="219">
        <f t="shared" si="227"/>
        <v>0.59729680450933675</v>
      </c>
      <c r="V811" s="188">
        <f t="shared" si="228"/>
        <v>1.0016687060905156E+16</v>
      </c>
      <c r="W811" s="323">
        <v>8.6999999999999994E-2</v>
      </c>
      <c r="X811" s="323">
        <v>7.9000000000000001E-2</v>
      </c>
      <c r="Y811" s="323">
        <v>4.4999999999999998E-2</v>
      </c>
      <c r="Z811" s="323">
        <v>1.6366341767699501E-2</v>
      </c>
      <c r="AA811" s="323">
        <v>7.1000000000000005</v>
      </c>
      <c r="AB811" s="323">
        <v>6.7</v>
      </c>
      <c r="AC811" s="323">
        <v>4.5</v>
      </c>
      <c r="AD811" s="323">
        <v>1.83303027798234</v>
      </c>
      <c r="AE811" s="323">
        <v>0.1</v>
      </c>
      <c r="AF811" s="323">
        <v>0.2</v>
      </c>
      <c r="AG811" s="323">
        <v>3.3000000000000003</v>
      </c>
      <c r="AH811" s="323">
        <v>61.474439726967901</v>
      </c>
      <c r="AI811" s="323">
        <v>4</v>
      </c>
      <c r="AJ811" s="323">
        <v>5.5</v>
      </c>
      <c r="AK811" s="323">
        <v>21</v>
      </c>
      <c r="AL811" s="323">
        <v>180.98631328523501</v>
      </c>
      <c r="AM811" s="323">
        <v>0.35199999999999998</v>
      </c>
      <c r="AN811" s="323">
        <v>0.35639999999999999</v>
      </c>
      <c r="AO811" s="323">
        <v>0.25900000000000001</v>
      </c>
      <c r="AP811" s="323">
        <v>0.18</v>
      </c>
      <c r="AQ811" s="323">
        <v>0.41245999999999999</v>
      </c>
      <c r="AR811" s="323">
        <v>0.42055999999999999</v>
      </c>
      <c r="AS811" s="323">
        <v>0.493585</v>
      </c>
      <c r="AT811" s="323">
        <v>0.60825729311539201</v>
      </c>
      <c r="AU811" s="190">
        <v>2315420183185209.5</v>
      </c>
      <c r="AV811" s="190">
        <v>2944595383362634.5</v>
      </c>
      <c r="AW811" s="190">
        <v>1.4677378651042154E+16</v>
      </c>
      <c r="AX811" s="190">
        <v>1.0200494815396092E+16</v>
      </c>
      <c r="AY811" s="203">
        <v>0.2</v>
      </c>
      <c r="BB811" s="204">
        <v>37446</v>
      </c>
      <c r="BC811" s="203" t="s">
        <v>3227</v>
      </c>
    </row>
    <row r="812" spans="1:55" x14ac:dyDescent="0.2">
      <c r="A812" s="184" t="s">
        <v>2876</v>
      </c>
      <c r="B812" s="184" t="s">
        <v>2875</v>
      </c>
      <c r="C812" s="184" t="s">
        <v>723</v>
      </c>
      <c r="D812" s="185" t="s">
        <v>2692</v>
      </c>
      <c r="E812" s="184" t="s">
        <v>2876</v>
      </c>
      <c r="F812" s="184" t="s">
        <v>2876</v>
      </c>
      <c r="G812" s="186">
        <f>IF(ALECA_Input!$F$13="ICAO (3000ft)",'Aircraft Calc'!C$216,'Aircraft Calc'!G$216)</f>
        <v>0.5</v>
      </c>
      <c r="H812" s="186">
        <f>IF(ALECA_Input!$F$13="ICAO (3000ft)",'Aircraft Calc'!D$216,'Aircraft Calc'!H$216)</f>
        <v>2.5</v>
      </c>
      <c r="I812" s="186">
        <f>IF(ALECA_Input!$F$13="ICAO (3000ft)",'Aircraft Calc'!E$216,'Aircraft Calc'!I$216)</f>
        <v>4.5</v>
      </c>
      <c r="J812" s="189">
        <v>1</v>
      </c>
      <c r="K812" s="187">
        <f t="shared" si="217"/>
        <v>29.22</v>
      </c>
      <c r="L812" s="187">
        <f t="shared" si="218"/>
        <v>0.17879699999999998</v>
      </c>
      <c r="M812" s="187">
        <f t="shared" si="219"/>
        <v>3.3057000000000003E-2</v>
      </c>
      <c r="N812" s="187">
        <f t="shared" si="220"/>
        <v>0.29267399999999999</v>
      </c>
      <c r="O812" s="187">
        <f t="shared" si="221"/>
        <v>1.31414472E-2</v>
      </c>
      <c r="P812" s="188">
        <f t="shared" si="222"/>
        <v>2.5682764304615757E+17</v>
      </c>
      <c r="Q812" s="187">
        <f t="shared" si="223"/>
        <v>1060.5389465469239</v>
      </c>
      <c r="R812" s="219">
        <f t="shared" si="224"/>
        <v>2.0828571428571432</v>
      </c>
      <c r="S812" s="219">
        <f t="shared" si="225"/>
        <v>54.820169092618634</v>
      </c>
      <c r="T812" s="219">
        <f t="shared" si="226"/>
        <v>172.15163700685517</v>
      </c>
      <c r="U812" s="219">
        <f t="shared" si="227"/>
        <v>0.58424305734248128</v>
      </c>
      <c r="V812" s="188">
        <f t="shared" si="228"/>
        <v>1.0998322392873822E+16</v>
      </c>
      <c r="W812" s="323">
        <v>9.8000000000000004E-2</v>
      </c>
      <c r="X812" s="323">
        <v>8.6999999999999994E-2</v>
      </c>
      <c r="Y812" s="323">
        <v>4.9000000000000002E-2</v>
      </c>
      <c r="Z812" s="323">
        <v>1.7675649109115399E-2</v>
      </c>
      <c r="AA812" s="323">
        <v>7.7</v>
      </c>
      <c r="AB812" s="323">
        <v>7.1000000000000005</v>
      </c>
      <c r="AC812" s="323">
        <v>4.8</v>
      </c>
      <c r="AD812" s="323">
        <v>1.9639610121239299</v>
      </c>
      <c r="AE812" s="323">
        <v>0</v>
      </c>
      <c r="AF812" s="323">
        <v>0.1</v>
      </c>
      <c r="AG812" s="323">
        <v>2.4</v>
      </c>
      <c r="AH812" s="323">
        <v>51.6908589459266</v>
      </c>
      <c r="AI812" s="323">
        <v>2.6</v>
      </c>
      <c r="AJ812" s="323">
        <v>4.0999999999999996</v>
      </c>
      <c r="AK812" s="323">
        <v>17.5</v>
      </c>
      <c r="AL812" s="323">
        <v>162.32467234454199</v>
      </c>
      <c r="AM812" s="323">
        <v>0.3795</v>
      </c>
      <c r="AN812" s="323">
        <v>0.38640000000000002</v>
      </c>
      <c r="AO812" s="323">
        <v>0.2772</v>
      </c>
      <c r="AP812" s="323">
        <v>0.183</v>
      </c>
      <c r="AQ812" s="323">
        <v>0.42846000000000001</v>
      </c>
      <c r="AR812" s="323">
        <v>0.44296000000000002</v>
      </c>
      <c r="AS812" s="323">
        <v>0.46116000000000001</v>
      </c>
      <c r="AT812" s="323">
        <v>0.55089259969636695</v>
      </c>
      <c r="AU812" s="190">
        <v>2496312384996554</v>
      </c>
      <c r="AV812" s="190">
        <v>3192456947618748.5</v>
      </c>
      <c r="AW812" s="190">
        <v>1.570876201570998E+16</v>
      </c>
      <c r="AX812" s="190">
        <v>1.037050306231936E+16</v>
      </c>
      <c r="AY812" s="203">
        <v>0.2</v>
      </c>
      <c r="BB812" s="204">
        <v>37446</v>
      </c>
      <c r="BC812" s="203" t="s">
        <v>3227</v>
      </c>
    </row>
    <row r="813" spans="1:55" x14ac:dyDescent="0.2">
      <c r="A813" s="184" t="s">
        <v>2878</v>
      </c>
      <c r="B813" s="184" t="s">
        <v>2877</v>
      </c>
      <c r="C813" s="184" t="s">
        <v>723</v>
      </c>
      <c r="D813" s="185" t="s">
        <v>2692</v>
      </c>
      <c r="E813" s="184" t="s">
        <v>2878</v>
      </c>
      <c r="F813" s="184" t="s">
        <v>2878</v>
      </c>
      <c r="G813" s="186">
        <f>IF(ALECA_Input!$F$13="ICAO (3000ft)",'Aircraft Calc'!C$216,'Aircraft Calc'!G$216)</f>
        <v>0.5</v>
      </c>
      <c r="H813" s="186">
        <f>IF(ALECA_Input!$F$13="ICAO (3000ft)",'Aircraft Calc'!D$216,'Aircraft Calc'!H$216)</f>
        <v>2.5</v>
      </c>
      <c r="I813" s="186">
        <f>IF(ALECA_Input!$F$13="ICAO (3000ft)",'Aircraft Calc'!E$216,'Aircraft Calc'!I$216)</f>
        <v>4.5</v>
      </c>
      <c r="J813" s="189">
        <v>1</v>
      </c>
      <c r="K813" s="187">
        <f t="shared" si="217"/>
        <v>28.380000000000003</v>
      </c>
      <c r="L813" s="187">
        <f t="shared" si="218"/>
        <v>0.17026200000000002</v>
      </c>
      <c r="M813" s="187">
        <f t="shared" si="219"/>
        <v>3.6251999999999993E-2</v>
      </c>
      <c r="N813" s="187">
        <f t="shared" si="220"/>
        <v>0.30775800000000003</v>
      </c>
      <c r="O813" s="187">
        <f t="shared" si="221"/>
        <v>1.2769636800000001E-2</v>
      </c>
      <c r="P813" s="188">
        <f t="shared" si="222"/>
        <v>2.4559506437008928E+17</v>
      </c>
      <c r="Q813" s="187">
        <f t="shared" si="223"/>
        <v>1021.259726304444</v>
      </c>
      <c r="R813" s="219">
        <f t="shared" si="224"/>
        <v>1.9388571428571488</v>
      </c>
      <c r="S813" s="219">
        <f t="shared" si="225"/>
        <v>55.612776013545812</v>
      </c>
      <c r="T813" s="219">
        <f t="shared" si="226"/>
        <v>170.84809709626882</v>
      </c>
      <c r="U813" s="219">
        <f t="shared" si="227"/>
        <v>0.57849034452770032</v>
      </c>
      <c r="V813" s="188">
        <f t="shared" si="228"/>
        <v>1.0504165831202492E+16</v>
      </c>
      <c r="W813" s="323">
        <v>9.4E-2</v>
      </c>
      <c r="X813" s="323">
        <v>8.4000000000000005E-2</v>
      </c>
      <c r="Y813" s="323">
        <v>4.8000000000000001E-2</v>
      </c>
      <c r="Z813" s="323">
        <v>1.7020995438407401E-2</v>
      </c>
      <c r="AA813" s="323">
        <v>7.5</v>
      </c>
      <c r="AB813" s="323">
        <v>7</v>
      </c>
      <c r="AC813" s="323">
        <v>4.7</v>
      </c>
      <c r="AD813" s="323">
        <v>1.8984956450531401</v>
      </c>
      <c r="AE813" s="323">
        <v>0</v>
      </c>
      <c r="AF813" s="323">
        <v>0.1</v>
      </c>
      <c r="AG813" s="323">
        <v>2.7</v>
      </c>
      <c r="AH813" s="323">
        <v>54.4550760018586</v>
      </c>
      <c r="AI813" s="323">
        <v>3.1</v>
      </c>
      <c r="AJ813" s="323">
        <v>4.6000000000000005</v>
      </c>
      <c r="AK813" s="323">
        <v>18.600000000000001</v>
      </c>
      <c r="AL813" s="323">
        <v>167.29152506043101</v>
      </c>
      <c r="AM813" s="323">
        <v>0.37180000000000002</v>
      </c>
      <c r="AN813" s="323">
        <v>0.37680000000000002</v>
      </c>
      <c r="AO813" s="323">
        <v>0.27160000000000001</v>
      </c>
      <c r="AP813" s="323">
        <v>0.18149999999999999</v>
      </c>
      <c r="AQ813" s="323">
        <v>0.42076000000000002</v>
      </c>
      <c r="AR813" s="323">
        <v>0.43336000000000002</v>
      </c>
      <c r="AS813" s="323">
        <v>0.47243499999999999</v>
      </c>
      <c r="AT813" s="323">
        <v>0.56644781893146801</v>
      </c>
      <c r="AU813" s="190">
        <v>2445662568489378</v>
      </c>
      <c r="AV813" s="190">
        <v>3113141247056792</v>
      </c>
      <c r="AW813" s="190">
        <v>1.5391413288119882E+16</v>
      </c>
      <c r="AX813" s="190">
        <v>1.0285498938857726E+16</v>
      </c>
      <c r="AY813" s="203">
        <v>0.2</v>
      </c>
      <c r="BB813" s="204">
        <v>37446</v>
      </c>
      <c r="BC813" s="203" t="s">
        <v>3227</v>
      </c>
    </row>
    <row r="814" spans="1:55" x14ac:dyDescent="0.2">
      <c r="A814" s="184" t="s">
        <v>330</v>
      </c>
      <c r="B814" s="184" t="s">
        <v>2879</v>
      </c>
      <c r="C814" s="184" t="s">
        <v>723</v>
      </c>
      <c r="D814" s="185" t="s">
        <v>2692</v>
      </c>
      <c r="E814" s="184" t="s">
        <v>330</v>
      </c>
      <c r="F814" s="184" t="s">
        <v>330</v>
      </c>
      <c r="G814" s="186">
        <f>IF(ALECA_Input!$F$13="ICAO (3000ft)",'Aircraft Calc'!C$216,'Aircraft Calc'!G$216)</f>
        <v>0.5</v>
      </c>
      <c r="H814" s="186">
        <f>IF(ALECA_Input!$F$13="ICAO (3000ft)",'Aircraft Calc'!D$216,'Aircraft Calc'!H$216)</f>
        <v>2.5</v>
      </c>
      <c r="I814" s="186">
        <f>IF(ALECA_Input!$F$13="ICAO (3000ft)",'Aircraft Calc'!E$216,'Aircraft Calc'!I$216)</f>
        <v>4.5</v>
      </c>
      <c r="J814" s="189">
        <v>1</v>
      </c>
      <c r="K814" s="187">
        <f t="shared" si="217"/>
        <v>26.25</v>
      </c>
      <c r="L814" s="187">
        <f t="shared" si="218"/>
        <v>0.14997000000000002</v>
      </c>
      <c r="M814" s="187">
        <f t="shared" si="219"/>
        <v>4.5029999999999994E-2</v>
      </c>
      <c r="N814" s="187">
        <f t="shared" si="220"/>
        <v>0.34387499999999999</v>
      </c>
      <c r="O814" s="187">
        <f t="shared" si="221"/>
        <v>1.2062422499999999E-2</v>
      </c>
      <c r="P814" s="188">
        <f t="shared" si="222"/>
        <v>2.1824454875512288E+17</v>
      </c>
      <c r="Q814" s="187">
        <f t="shared" si="223"/>
        <v>981.98050606197012</v>
      </c>
      <c r="R814" s="219">
        <f t="shared" si="224"/>
        <v>1.8000000000000118</v>
      </c>
      <c r="S814" s="219">
        <f t="shared" si="225"/>
        <v>63.352549422757981</v>
      </c>
      <c r="T814" s="219">
        <f t="shared" si="226"/>
        <v>180.85829898042238</v>
      </c>
      <c r="U814" s="219">
        <f t="shared" si="227"/>
        <v>0.61571948660636522</v>
      </c>
      <c r="V814" s="188">
        <f t="shared" si="228"/>
        <v>1.0016687060905156E+16</v>
      </c>
      <c r="W814" s="323">
        <v>8.5000000000000006E-2</v>
      </c>
      <c r="X814" s="323">
        <v>7.6999999999999999E-2</v>
      </c>
      <c r="Y814" s="323">
        <v>4.4999999999999998E-2</v>
      </c>
      <c r="Z814" s="323">
        <v>1.6366341767699501E-2</v>
      </c>
      <c r="AA814" s="323">
        <v>7</v>
      </c>
      <c r="AB814" s="323">
        <v>6.6000000000000005</v>
      </c>
      <c r="AC814" s="323">
        <v>4.6000000000000005</v>
      </c>
      <c r="AD814" s="323">
        <v>1.83303027798234</v>
      </c>
      <c r="AE814" s="323">
        <v>0.1</v>
      </c>
      <c r="AF814" s="323">
        <v>0.3</v>
      </c>
      <c r="AG814" s="323">
        <v>3.4</v>
      </c>
      <c r="AH814" s="323">
        <v>64.515078488492904</v>
      </c>
      <c r="AI814" s="323">
        <v>4.9000000000000004</v>
      </c>
      <c r="AJ814" s="323">
        <v>6.6000000000000005</v>
      </c>
      <c r="AK814" s="323">
        <v>21</v>
      </c>
      <c r="AL814" s="323">
        <v>184.177076697497</v>
      </c>
      <c r="AM814" s="323">
        <v>0.35199999999999998</v>
      </c>
      <c r="AN814" s="323">
        <v>0.35639999999999999</v>
      </c>
      <c r="AO814" s="323">
        <v>0.25900000000000001</v>
      </c>
      <c r="AP814" s="323">
        <v>0.18</v>
      </c>
      <c r="AQ814" s="323">
        <v>0.41245999999999999</v>
      </c>
      <c r="AR814" s="323">
        <v>0.42815999999999999</v>
      </c>
      <c r="AS814" s="323">
        <v>0.49920999999999999</v>
      </c>
      <c r="AT814" s="323">
        <v>0.62701803427400105</v>
      </c>
      <c r="AU814" s="190">
        <v>2315420183185209.5</v>
      </c>
      <c r="AV814" s="190">
        <v>2944595383362634.5</v>
      </c>
      <c r="AW814" s="190">
        <v>1.4677378651042154E+16</v>
      </c>
      <c r="AX814" s="190">
        <v>1.0200494815396092E+16</v>
      </c>
      <c r="AY814" s="203">
        <v>0.2</v>
      </c>
      <c r="BB814" s="204">
        <v>41556</v>
      </c>
      <c r="BC814" s="203" t="s">
        <v>3233</v>
      </c>
    </row>
    <row r="815" spans="1:55" x14ac:dyDescent="0.2">
      <c r="A815" s="184" t="s">
        <v>2881</v>
      </c>
      <c r="B815" s="184" t="s">
        <v>2880</v>
      </c>
      <c r="C815" s="184" t="s">
        <v>723</v>
      </c>
      <c r="D815" s="185" t="s">
        <v>2692</v>
      </c>
      <c r="E815" s="184" t="s">
        <v>2881</v>
      </c>
      <c r="F815" s="184" t="s">
        <v>2881</v>
      </c>
      <c r="G815" s="186">
        <f>IF(ALECA_Input!$F$13="ICAO (3000ft)",'Aircraft Calc'!C$216,'Aircraft Calc'!G$216)</f>
        <v>0.5</v>
      </c>
      <c r="H815" s="186">
        <f>IF(ALECA_Input!$F$13="ICAO (3000ft)",'Aircraft Calc'!D$216,'Aircraft Calc'!H$216)</f>
        <v>2.5</v>
      </c>
      <c r="I815" s="186">
        <f>IF(ALECA_Input!$F$13="ICAO (3000ft)",'Aircraft Calc'!E$216,'Aircraft Calc'!I$216)</f>
        <v>4.5</v>
      </c>
      <c r="J815" s="189">
        <v>1</v>
      </c>
      <c r="K815" s="187">
        <f t="shared" si="217"/>
        <v>31.529999999999998</v>
      </c>
      <c r="L815" s="187">
        <f t="shared" si="218"/>
        <v>0.20504699999999998</v>
      </c>
      <c r="M815" s="187">
        <f t="shared" si="219"/>
        <v>2.6676000000000002E-2</v>
      </c>
      <c r="N815" s="187">
        <f t="shared" si="220"/>
        <v>0.26669700000000002</v>
      </c>
      <c r="O815" s="187">
        <f t="shared" si="221"/>
        <v>1.4357809799999998E-2</v>
      </c>
      <c r="P815" s="188">
        <f t="shared" si="222"/>
        <v>2.9204798028270112E+17</v>
      </c>
      <c r="Q815" s="187">
        <f t="shared" si="223"/>
        <v>1099.8181667894041</v>
      </c>
      <c r="R815" s="219">
        <f t="shared" si="224"/>
        <v>2.2320000000000055</v>
      </c>
      <c r="S815" s="219">
        <f t="shared" si="225"/>
        <v>51.682314296071546</v>
      </c>
      <c r="T815" s="219">
        <f t="shared" si="226"/>
        <v>168.09069768575233</v>
      </c>
      <c r="U815" s="219">
        <f t="shared" si="227"/>
        <v>0.57894288292578433</v>
      </c>
      <c r="V815" s="188">
        <f t="shared" si="228"/>
        <v>1.1686134904389322E+16</v>
      </c>
      <c r="W815" s="323">
        <v>0.108</v>
      </c>
      <c r="X815" s="323">
        <v>9.5000000000000001E-2</v>
      </c>
      <c r="Y815" s="323">
        <v>5.1999999999999998E-2</v>
      </c>
      <c r="Z815" s="323">
        <v>1.83303027798234E-2</v>
      </c>
      <c r="AA815" s="323">
        <v>8.1999999999999993</v>
      </c>
      <c r="AB815" s="323">
        <v>7.5</v>
      </c>
      <c r="AC815" s="323">
        <v>5.1000000000000005</v>
      </c>
      <c r="AD815" s="323">
        <v>2.0294263791947298</v>
      </c>
      <c r="AE815" s="323">
        <v>0</v>
      </c>
      <c r="AF815" s="323">
        <v>0</v>
      </c>
      <c r="AG815" s="323">
        <v>1.9000000000000001</v>
      </c>
      <c r="AH815" s="323">
        <v>46.9916899508424</v>
      </c>
      <c r="AI815" s="323">
        <v>1.5</v>
      </c>
      <c r="AJ815" s="323">
        <v>3.3000000000000003</v>
      </c>
      <c r="AK815" s="323">
        <v>15.3</v>
      </c>
      <c r="AL815" s="323">
        <v>152.83498923867</v>
      </c>
      <c r="AM815" s="323">
        <v>0.40150000000000002</v>
      </c>
      <c r="AN815" s="323">
        <v>0.41160000000000002</v>
      </c>
      <c r="AO815" s="323">
        <v>0.2954</v>
      </c>
      <c r="AP815" s="323">
        <v>0.1875</v>
      </c>
      <c r="AQ815" s="323">
        <v>0.45046000000000003</v>
      </c>
      <c r="AR815" s="323">
        <v>0.46056000000000002</v>
      </c>
      <c r="AS815" s="323">
        <v>0.451235</v>
      </c>
      <c r="AT815" s="323">
        <v>0.52639872699669799</v>
      </c>
      <c r="AU815" s="190">
        <v>2641026146445630</v>
      </c>
      <c r="AV815" s="190">
        <v>3400660661593884</v>
      </c>
      <c r="AW815" s="190">
        <v>1.674014538037781E+16</v>
      </c>
      <c r="AX815" s="190">
        <v>1.0625515432704262E+16</v>
      </c>
      <c r="AY815" s="203">
        <v>0.3</v>
      </c>
      <c r="BB815" s="204">
        <v>37446</v>
      </c>
      <c r="BC815" s="203" t="s">
        <v>3227</v>
      </c>
    </row>
    <row r="816" spans="1:55" x14ac:dyDescent="0.2">
      <c r="A816" s="184" t="s">
        <v>227</v>
      </c>
      <c r="B816" s="184" t="s">
        <v>2882</v>
      </c>
      <c r="C816" s="184" t="s">
        <v>723</v>
      </c>
      <c r="D816" s="185" t="s">
        <v>2692</v>
      </c>
      <c r="E816" s="184" t="s">
        <v>227</v>
      </c>
      <c r="F816" s="184" t="s">
        <v>227</v>
      </c>
      <c r="G816" s="186">
        <f>IF(ALECA_Input!$F$13="ICAO (3000ft)",'Aircraft Calc'!C$216,'Aircraft Calc'!G$216)</f>
        <v>0.5</v>
      </c>
      <c r="H816" s="186">
        <f>IF(ALECA_Input!$F$13="ICAO (3000ft)",'Aircraft Calc'!D$216,'Aircraft Calc'!H$216)</f>
        <v>2.5</v>
      </c>
      <c r="I816" s="186">
        <f>IF(ALECA_Input!$F$13="ICAO (3000ft)",'Aircraft Calc'!E$216,'Aircraft Calc'!I$216)</f>
        <v>4.5</v>
      </c>
      <c r="J816" s="189">
        <v>1</v>
      </c>
      <c r="K816" s="187">
        <f t="shared" si="217"/>
        <v>27.09</v>
      </c>
      <c r="L816" s="187">
        <f t="shared" si="218"/>
        <v>0.15799800000000003</v>
      </c>
      <c r="M816" s="187">
        <f t="shared" si="219"/>
        <v>4.1169000000000004E-2</v>
      </c>
      <c r="N816" s="187">
        <f t="shared" si="220"/>
        <v>0.32819700000000002</v>
      </c>
      <c r="O816" s="187">
        <f t="shared" si="221"/>
        <v>1.23671109E-2</v>
      </c>
      <c r="P816" s="188">
        <f t="shared" si="222"/>
        <v>2.2901578536118963E+17</v>
      </c>
      <c r="Q816" s="187">
        <f t="shared" si="223"/>
        <v>1021.259726304444</v>
      </c>
      <c r="R816" s="219">
        <f t="shared" si="224"/>
        <v>1.8720000000000034</v>
      </c>
      <c r="S816" s="219">
        <f t="shared" si="225"/>
        <v>62.499071134883565</v>
      </c>
      <c r="T816" s="219">
        <f t="shared" si="226"/>
        <v>182.06215463645037</v>
      </c>
      <c r="U816" s="219">
        <f t="shared" si="227"/>
        <v>0.62097878542635387</v>
      </c>
      <c r="V816" s="188">
        <f t="shared" si="228"/>
        <v>1.0504165831202492E+16</v>
      </c>
      <c r="W816" s="323">
        <v>8.8999999999999996E-2</v>
      </c>
      <c r="X816" s="323">
        <v>0.08</v>
      </c>
      <c r="Y816" s="323">
        <v>4.5999999999999999E-2</v>
      </c>
      <c r="Z816" s="323">
        <v>1.7020995438407401E-2</v>
      </c>
      <c r="AA816" s="323">
        <v>7.2</v>
      </c>
      <c r="AB816" s="323">
        <v>6.7</v>
      </c>
      <c r="AC816" s="323">
        <v>4.7</v>
      </c>
      <c r="AD816" s="323">
        <v>1.83303027798234</v>
      </c>
      <c r="AE816" s="323">
        <v>0.1</v>
      </c>
      <c r="AF816" s="323">
        <v>0.2</v>
      </c>
      <c r="AG816" s="323">
        <v>3.1</v>
      </c>
      <c r="AH816" s="323">
        <v>61.1980180213747</v>
      </c>
      <c r="AI816" s="323">
        <v>4.3</v>
      </c>
      <c r="AJ816" s="323">
        <v>5.9</v>
      </c>
      <c r="AK816" s="323">
        <v>19.8</v>
      </c>
      <c r="AL816" s="323">
        <v>178.27213777954901</v>
      </c>
      <c r="AM816" s="323">
        <v>0.36299999999999999</v>
      </c>
      <c r="AN816" s="323">
        <v>0.36720000000000003</v>
      </c>
      <c r="AO816" s="323">
        <v>0.2646</v>
      </c>
      <c r="AP816" s="323">
        <v>0.18149999999999999</v>
      </c>
      <c r="AQ816" s="323">
        <v>0.42346</v>
      </c>
      <c r="AR816" s="323">
        <v>0.43136000000000002</v>
      </c>
      <c r="AS816" s="323">
        <v>0.48793500000000001</v>
      </c>
      <c r="AT816" s="323">
        <v>0.60805177119188203</v>
      </c>
      <c r="AU816" s="190">
        <v>2387777063909747.5</v>
      </c>
      <c r="AV816" s="190">
        <v>3033825546494835</v>
      </c>
      <c r="AW816" s="190">
        <v>1.4994727378632256E+16</v>
      </c>
      <c r="AX816" s="190">
        <v>1.0285498938857726E+16</v>
      </c>
      <c r="AY816" s="203">
        <v>0.2</v>
      </c>
      <c r="BB816" s="204">
        <v>37446</v>
      </c>
      <c r="BC816" s="203" t="s">
        <v>3227</v>
      </c>
    </row>
    <row r="817" spans="1:55" x14ac:dyDescent="0.2">
      <c r="A817" s="184" t="s">
        <v>2884</v>
      </c>
      <c r="B817" s="184" t="s">
        <v>2883</v>
      </c>
      <c r="C817" s="184" t="s">
        <v>723</v>
      </c>
      <c r="D817" s="185" t="s">
        <v>2692</v>
      </c>
      <c r="E817" s="184" t="s">
        <v>2884</v>
      </c>
      <c r="F817" s="184" t="s">
        <v>2884</v>
      </c>
      <c r="G817" s="186">
        <f>IF(ALECA_Input!$F$13="ICAO (3000ft)",'Aircraft Calc'!C$216,'Aircraft Calc'!G$216)</f>
        <v>0.5</v>
      </c>
      <c r="H817" s="186">
        <f>IF(ALECA_Input!$F$13="ICAO (3000ft)",'Aircraft Calc'!D$216,'Aircraft Calc'!H$216)</f>
        <v>2.5</v>
      </c>
      <c r="I817" s="186">
        <f>IF(ALECA_Input!$F$13="ICAO (3000ft)",'Aircraft Calc'!E$216,'Aircraft Calc'!I$216)</f>
        <v>4.5</v>
      </c>
      <c r="J817" s="189">
        <v>1</v>
      </c>
      <c r="K817" s="187">
        <f t="shared" si="217"/>
        <v>29.22</v>
      </c>
      <c r="L817" s="187">
        <f t="shared" si="218"/>
        <v>0.17879699999999998</v>
      </c>
      <c r="M817" s="187">
        <f t="shared" si="219"/>
        <v>3.3057000000000003E-2</v>
      </c>
      <c r="N817" s="187">
        <f t="shared" si="220"/>
        <v>0.29267399999999999</v>
      </c>
      <c r="O817" s="187">
        <f t="shared" si="221"/>
        <v>1.31414472E-2</v>
      </c>
      <c r="P817" s="188">
        <f t="shared" si="222"/>
        <v>2.5682764304615757E+17</v>
      </c>
      <c r="Q817" s="187">
        <f t="shared" si="223"/>
        <v>1060.5389465469239</v>
      </c>
      <c r="R817" s="219">
        <f t="shared" si="224"/>
        <v>2.0828571428571432</v>
      </c>
      <c r="S817" s="219">
        <f t="shared" si="225"/>
        <v>54.820169092618634</v>
      </c>
      <c r="T817" s="219">
        <f t="shared" si="226"/>
        <v>230.78283389735628</v>
      </c>
      <c r="U817" s="219">
        <f t="shared" si="227"/>
        <v>0.58424305734248128</v>
      </c>
      <c r="V817" s="188">
        <f t="shared" si="228"/>
        <v>1.0998322392873822E+16</v>
      </c>
      <c r="W817" s="323">
        <v>9.8000000000000004E-2</v>
      </c>
      <c r="X817" s="323">
        <v>8.6999999999999994E-2</v>
      </c>
      <c r="Y817" s="323">
        <v>4.9000000000000002E-2</v>
      </c>
      <c r="Z817" s="323">
        <v>1.7675649109115399E-2</v>
      </c>
      <c r="AA817" s="323">
        <v>7.7</v>
      </c>
      <c r="AB817" s="323">
        <v>7.1000000000000005</v>
      </c>
      <c r="AC817" s="323">
        <v>4.8</v>
      </c>
      <c r="AD817" s="323">
        <v>1.9639610121239299</v>
      </c>
      <c r="AE817" s="323">
        <v>0</v>
      </c>
      <c r="AF817" s="323">
        <v>0.1</v>
      </c>
      <c r="AG817" s="323">
        <v>2.4</v>
      </c>
      <c r="AH817" s="323">
        <v>51.6908589459266</v>
      </c>
      <c r="AI817" s="323">
        <v>2.6</v>
      </c>
      <c r="AJ817" s="323">
        <v>4.0999999999999996</v>
      </c>
      <c r="AK817" s="323">
        <v>17.5</v>
      </c>
      <c r="AL817" s="323">
        <v>217.60901346317999</v>
      </c>
      <c r="AM817" s="323">
        <v>0.3795</v>
      </c>
      <c r="AN817" s="323">
        <v>0.38640000000000002</v>
      </c>
      <c r="AO817" s="323">
        <v>0.2772</v>
      </c>
      <c r="AP817" s="323">
        <v>0.183</v>
      </c>
      <c r="AQ817" s="323">
        <v>0.42846000000000001</v>
      </c>
      <c r="AR817" s="323">
        <v>0.44296000000000002</v>
      </c>
      <c r="AS817" s="323">
        <v>0.46116000000000001</v>
      </c>
      <c r="AT817" s="323">
        <v>0.55089259969636695</v>
      </c>
      <c r="AU817" s="190">
        <v>2496312384996554</v>
      </c>
      <c r="AV817" s="190">
        <v>3192456947618748.5</v>
      </c>
      <c r="AW817" s="190">
        <v>1.570876201570998E+16</v>
      </c>
      <c r="AX817" s="190">
        <v>1.037050306231936E+16</v>
      </c>
      <c r="AY817" s="203">
        <v>0.2</v>
      </c>
      <c r="BB817" s="204">
        <v>37446</v>
      </c>
      <c r="BC817" s="203" t="s">
        <v>3227</v>
      </c>
    </row>
    <row r="818" spans="1:55" x14ac:dyDescent="0.2">
      <c r="A818" s="184" t="s">
        <v>234</v>
      </c>
      <c r="B818" s="184" t="s">
        <v>2885</v>
      </c>
      <c r="C818" s="184" t="s">
        <v>723</v>
      </c>
      <c r="D818" s="185" t="s">
        <v>2692</v>
      </c>
      <c r="E818" s="184" t="s">
        <v>234</v>
      </c>
      <c r="F818" s="184" t="s">
        <v>234</v>
      </c>
      <c r="G818" s="186">
        <f>IF(ALECA_Input!$F$13="ICAO (3000ft)",'Aircraft Calc'!C$216,'Aircraft Calc'!G$216)</f>
        <v>0.5</v>
      </c>
      <c r="H818" s="186">
        <f>IF(ALECA_Input!$F$13="ICAO (3000ft)",'Aircraft Calc'!D$216,'Aircraft Calc'!H$216)</f>
        <v>2.5</v>
      </c>
      <c r="I818" s="186">
        <f>IF(ALECA_Input!$F$13="ICAO (3000ft)",'Aircraft Calc'!E$216,'Aircraft Calc'!I$216)</f>
        <v>4.5</v>
      </c>
      <c r="J818" s="189">
        <v>1</v>
      </c>
      <c r="K818" s="187">
        <f t="shared" si="217"/>
        <v>24.9</v>
      </c>
      <c r="L818" s="187">
        <f t="shared" si="218"/>
        <v>0.13766399999999998</v>
      </c>
      <c r="M818" s="187">
        <f t="shared" si="219"/>
        <v>5.1450000000000003E-2</v>
      </c>
      <c r="N818" s="187">
        <f t="shared" si="220"/>
        <v>0.35814000000000001</v>
      </c>
      <c r="O818" s="187">
        <f t="shared" si="221"/>
        <v>1.1663415E-2</v>
      </c>
      <c r="P818" s="188">
        <f t="shared" si="222"/>
        <v>1.9699042688349795E+17</v>
      </c>
      <c r="Q818" s="187">
        <f t="shared" si="223"/>
        <v>942.70128581948995</v>
      </c>
      <c r="R818" s="219">
        <f t="shared" si="224"/>
        <v>1.666285714285721</v>
      </c>
      <c r="S818" s="219">
        <f t="shared" si="225"/>
        <v>65.350945876813967</v>
      </c>
      <c r="T818" s="219">
        <f t="shared" si="226"/>
        <v>183.05213275744688</v>
      </c>
      <c r="U818" s="219">
        <f t="shared" si="227"/>
        <v>0.61622811860371385</v>
      </c>
      <c r="V818" s="188">
        <f t="shared" si="228"/>
        <v>9455752585494454</v>
      </c>
      <c r="W818" s="323">
        <v>8.2000000000000003E-2</v>
      </c>
      <c r="X818" s="323">
        <v>7.3999999999999996E-2</v>
      </c>
      <c r="Y818" s="323">
        <v>4.2000000000000003E-2</v>
      </c>
      <c r="Z818" s="323">
        <v>1.57116880969915E-2</v>
      </c>
      <c r="AA818" s="323">
        <v>6.8</v>
      </c>
      <c r="AB818" s="323">
        <v>6.4</v>
      </c>
      <c r="AC818" s="323">
        <v>4.4000000000000004</v>
      </c>
      <c r="AD818" s="323">
        <v>1.7675649109115401</v>
      </c>
      <c r="AE818" s="323">
        <v>0.2</v>
      </c>
      <c r="AF818" s="323">
        <v>0.3</v>
      </c>
      <c r="AG818" s="323">
        <v>4.2</v>
      </c>
      <c r="AH818" s="323">
        <v>69.323068568856797</v>
      </c>
      <c r="AI818" s="323">
        <v>5.2</v>
      </c>
      <c r="AJ818" s="323">
        <v>6.9</v>
      </c>
      <c r="AK818" s="323">
        <v>23.7</v>
      </c>
      <c r="AL818" s="323">
        <v>194.17829964909799</v>
      </c>
      <c r="AM818" s="323">
        <v>0.33879999999999999</v>
      </c>
      <c r="AN818" s="323">
        <v>0.34200000000000003</v>
      </c>
      <c r="AO818" s="323">
        <v>0.2492</v>
      </c>
      <c r="AP818" s="323">
        <v>0.17699999999999999</v>
      </c>
      <c r="AQ818" s="323">
        <v>0.41076000000000001</v>
      </c>
      <c r="AR818" s="323">
        <v>0.41376000000000002</v>
      </c>
      <c r="AS818" s="323">
        <v>0.53441000000000005</v>
      </c>
      <c r="AT818" s="323">
        <v>0.65368333306984605</v>
      </c>
      <c r="AU818" s="190">
        <v>2228591926315764.3</v>
      </c>
      <c r="AV818" s="190">
        <v>2825621832519699.5</v>
      </c>
      <c r="AW818" s="190">
        <v>1.412201837775948E+16</v>
      </c>
      <c r="AX818" s="190">
        <v>1.0030486568472824E+16</v>
      </c>
      <c r="AY818" s="203">
        <v>0.2</v>
      </c>
      <c r="BB818" s="204">
        <v>37446</v>
      </c>
      <c r="BC818" s="203" t="s">
        <v>3227</v>
      </c>
    </row>
    <row r="819" spans="1:55" x14ac:dyDescent="0.2">
      <c r="A819" s="184" t="s">
        <v>2887</v>
      </c>
      <c r="B819" s="184" t="s">
        <v>2886</v>
      </c>
      <c r="C819" s="184" t="s">
        <v>723</v>
      </c>
      <c r="D819" s="185" t="s">
        <v>2692</v>
      </c>
      <c r="E819" s="184" t="s">
        <v>2887</v>
      </c>
      <c r="F819" s="184" t="s">
        <v>716</v>
      </c>
      <c r="G819" s="186">
        <f>IF(ALECA_Input!$F$13="ICAO (3000ft)",'Aircraft Calc'!C$216,'Aircraft Calc'!G$216)</f>
        <v>0.5</v>
      </c>
      <c r="H819" s="186">
        <f>IF(ALECA_Input!$F$13="ICAO (3000ft)",'Aircraft Calc'!D$216,'Aircraft Calc'!H$216)</f>
        <v>2.5</v>
      </c>
      <c r="I819" s="186">
        <f>IF(ALECA_Input!$F$13="ICAO (3000ft)",'Aircraft Calc'!E$216,'Aircraft Calc'!I$216)</f>
        <v>4.5</v>
      </c>
      <c r="J819" s="189">
        <v>1</v>
      </c>
      <c r="K819" s="187">
        <f t="shared" si="217"/>
        <v>23.64</v>
      </c>
      <c r="L819" s="187">
        <f t="shared" si="218"/>
        <v>0.19594799999999998</v>
      </c>
      <c r="M819" s="187">
        <f t="shared" si="219"/>
        <v>4.6689599999999998E-2</v>
      </c>
      <c r="N819" s="187">
        <f t="shared" si="220"/>
        <v>0.30613800000000002</v>
      </c>
      <c r="O819" s="187">
        <f t="shared" si="221"/>
        <v>1.0884473399999999E-2</v>
      </c>
      <c r="P819" s="188">
        <f t="shared" si="222"/>
        <v>1.8618179116311347E+17</v>
      </c>
      <c r="Q819" s="187">
        <f t="shared" si="223"/>
        <v>960</v>
      </c>
      <c r="R819" s="219">
        <f t="shared" si="224"/>
        <v>2.5920000000000001</v>
      </c>
      <c r="S819" s="219">
        <f t="shared" si="225"/>
        <v>66.239999999999995</v>
      </c>
      <c r="T819" s="219">
        <f t="shared" si="226"/>
        <v>186.23999999999998</v>
      </c>
      <c r="U819" s="219">
        <f t="shared" si="227"/>
        <v>0.62562240000000002</v>
      </c>
      <c r="V819" s="188">
        <f t="shared" si="228"/>
        <v>9629267105733910</v>
      </c>
      <c r="W819" s="323">
        <v>7.8E-2</v>
      </c>
      <c r="X819" s="323">
        <v>7.0000000000000007E-2</v>
      </c>
      <c r="Y819" s="323">
        <v>0.04</v>
      </c>
      <c r="Z819" s="323">
        <v>1.6E-2</v>
      </c>
      <c r="AA819" s="323">
        <v>10.199999999999999</v>
      </c>
      <c r="AB819" s="323">
        <v>9.6</v>
      </c>
      <c r="AC819" s="323">
        <v>6.6</v>
      </c>
      <c r="AD819" s="323">
        <v>2.7</v>
      </c>
      <c r="AE819" s="323">
        <v>0.19</v>
      </c>
      <c r="AF819" s="323">
        <v>0.28999999999999998</v>
      </c>
      <c r="AG819" s="323">
        <v>4</v>
      </c>
      <c r="AH819" s="323">
        <v>69</v>
      </c>
      <c r="AI819" s="323">
        <v>4.7</v>
      </c>
      <c r="AJ819" s="323">
        <v>6.2</v>
      </c>
      <c r="AK819" s="323">
        <v>21.3</v>
      </c>
      <c r="AL819" s="323">
        <v>194</v>
      </c>
      <c r="AM819" s="323">
        <v>0.33550000000000002</v>
      </c>
      <c r="AN819" s="323">
        <v>0.33839999999999998</v>
      </c>
      <c r="AO819" s="323">
        <v>0.24779999999999999</v>
      </c>
      <c r="AP819" s="323">
        <v>0.17699999999999999</v>
      </c>
      <c r="AQ819" s="323">
        <v>0.40631</v>
      </c>
      <c r="AR819" s="323">
        <v>0.40939999999999999</v>
      </c>
      <c r="AS819" s="323">
        <v>0.52176</v>
      </c>
      <c r="AT819" s="323">
        <v>0.65168999999999999</v>
      </c>
      <c r="AU819" s="190">
        <v>2206884862098402.8</v>
      </c>
      <c r="AV819" s="190">
        <v>2795878444808966</v>
      </c>
      <c r="AW819" s="190">
        <v>1.4042681195861952E+16</v>
      </c>
      <c r="AX819" s="190">
        <v>1.0030486568472824E+16</v>
      </c>
      <c r="AY819" s="203">
        <v>0.3</v>
      </c>
      <c r="BB819" s="204">
        <v>42509</v>
      </c>
      <c r="BC819" s="203" t="s">
        <v>3238</v>
      </c>
    </row>
    <row r="820" spans="1:55" x14ac:dyDescent="0.2">
      <c r="A820" s="184" t="s">
        <v>2889</v>
      </c>
      <c r="B820" s="184" t="s">
        <v>2888</v>
      </c>
      <c r="C820" s="184" t="s">
        <v>723</v>
      </c>
      <c r="D820" s="185" t="s">
        <v>2692</v>
      </c>
      <c r="E820" s="184" t="s">
        <v>2889</v>
      </c>
      <c r="F820" s="184" t="s">
        <v>2889</v>
      </c>
      <c r="G820" s="186">
        <f>IF(ALECA_Input!$F$13="ICAO (3000ft)",'Aircraft Calc'!C$216,'Aircraft Calc'!G$216)</f>
        <v>0.5</v>
      </c>
      <c r="H820" s="186">
        <f>IF(ALECA_Input!$F$13="ICAO (3000ft)",'Aircraft Calc'!D$216,'Aircraft Calc'!H$216)</f>
        <v>2.5</v>
      </c>
      <c r="I820" s="186">
        <f>IF(ALECA_Input!$F$13="ICAO (3000ft)",'Aircraft Calc'!E$216,'Aircraft Calc'!I$216)</f>
        <v>4.5</v>
      </c>
      <c r="J820" s="189">
        <v>1</v>
      </c>
      <c r="K820" s="187">
        <f t="shared" si="217"/>
        <v>36.647999999999996</v>
      </c>
      <c r="L820" s="187">
        <f t="shared" si="218"/>
        <v>0.37567500000000004</v>
      </c>
      <c r="M820" s="187">
        <f t="shared" si="219"/>
        <v>0</v>
      </c>
      <c r="N820" s="187">
        <f t="shared" si="220"/>
        <v>0.1506537</v>
      </c>
      <c r="O820" s="187">
        <f t="shared" si="221"/>
        <v>1.5311840879999998E-2</v>
      </c>
      <c r="P820" s="188">
        <f t="shared" si="222"/>
        <v>3.6406390290811309E+17</v>
      </c>
      <c r="Q820" s="187">
        <f t="shared" si="223"/>
        <v>1653.6551722083541</v>
      </c>
      <c r="R820" s="219">
        <f t="shared" si="224"/>
        <v>6.4954285714285982</v>
      </c>
      <c r="S820" s="219">
        <f t="shared" si="225"/>
        <v>0</v>
      </c>
      <c r="T820" s="219">
        <f t="shared" si="226"/>
        <v>61.09722900700104</v>
      </c>
      <c r="U820" s="219">
        <f t="shared" si="227"/>
        <v>0.39598426753701249</v>
      </c>
      <c r="V820" s="188">
        <f t="shared" si="228"/>
        <v>1.7852073569513828E+16</v>
      </c>
      <c r="W820" s="323">
        <v>0.1187</v>
      </c>
      <c r="X820" s="323">
        <v>0.1061</v>
      </c>
      <c r="Y820" s="323">
        <v>6.3600000000000004E-2</v>
      </c>
      <c r="Z820" s="323">
        <v>2.7560919536805902E-2</v>
      </c>
      <c r="AA820" s="323">
        <v>12.700000000000001</v>
      </c>
      <c r="AB820" s="323">
        <v>11.700000000000001</v>
      </c>
      <c r="AC820" s="323">
        <v>8.4</v>
      </c>
      <c r="AD820" s="323">
        <v>3.9279220242478701</v>
      </c>
      <c r="AE820" s="323">
        <v>0</v>
      </c>
      <c r="AF820" s="323">
        <v>0</v>
      </c>
      <c r="AG820" s="323">
        <v>0</v>
      </c>
      <c r="AH820" s="323">
        <v>0</v>
      </c>
      <c r="AI820" s="323">
        <v>2.2000000000000002</v>
      </c>
      <c r="AJ820" s="323">
        <v>2.5</v>
      </c>
      <c r="AK820" s="323">
        <v>6</v>
      </c>
      <c r="AL820" s="323">
        <v>36.946777075301299</v>
      </c>
      <c r="AM820" s="323">
        <v>0.41360000000000002</v>
      </c>
      <c r="AN820" s="323">
        <v>0.42599999999999999</v>
      </c>
      <c r="AO820" s="323">
        <v>0.30659999999999998</v>
      </c>
      <c r="AP820" s="323">
        <v>0.1905</v>
      </c>
      <c r="AQ820" s="323">
        <v>0.46256000000000003</v>
      </c>
      <c r="AR820" s="323">
        <v>0.47495999999999999</v>
      </c>
      <c r="AS820" s="323">
        <v>0.35555999999999999</v>
      </c>
      <c r="AT820" s="323">
        <v>0.23946000000000001</v>
      </c>
      <c r="AU820" s="190">
        <v>2720618715242621.5</v>
      </c>
      <c r="AV820" s="190">
        <v>3519634212436818.5</v>
      </c>
      <c r="AW820" s="190">
        <v>1.737484283555801E+16</v>
      </c>
      <c r="AX820" s="190">
        <v>1.079552367962753E+16</v>
      </c>
      <c r="AY820" s="203">
        <v>0.5</v>
      </c>
      <c r="BB820" s="204">
        <v>37446</v>
      </c>
      <c r="BC820" s="203" t="s">
        <v>3227</v>
      </c>
    </row>
    <row r="821" spans="1:55" x14ac:dyDescent="0.2">
      <c r="A821" s="184" t="s">
        <v>294</v>
      </c>
      <c r="B821" s="184" t="s">
        <v>2890</v>
      </c>
      <c r="C821" s="184" t="s">
        <v>723</v>
      </c>
      <c r="D821" s="185" t="s">
        <v>2692</v>
      </c>
      <c r="E821" s="184" t="s">
        <v>294</v>
      </c>
      <c r="F821" s="184" t="s">
        <v>294</v>
      </c>
      <c r="G821" s="186">
        <f>IF(ALECA_Input!$F$13="ICAO (3000ft)",'Aircraft Calc'!C$216,'Aircraft Calc'!G$216)</f>
        <v>0.5</v>
      </c>
      <c r="H821" s="186">
        <f>IF(ALECA_Input!$F$13="ICAO (3000ft)",'Aircraft Calc'!D$216,'Aircraft Calc'!H$216)</f>
        <v>2.5</v>
      </c>
      <c r="I821" s="186">
        <f>IF(ALECA_Input!$F$13="ICAO (3000ft)",'Aircraft Calc'!E$216,'Aircraft Calc'!I$216)</f>
        <v>4.5</v>
      </c>
      <c r="J821" s="189">
        <v>1</v>
      </c>
      <c r="K821" s="187">
        <f t="shared" si="217"/>
        <v>37.194000000000003</v>
      </c>
      <c r="L821" s="187">
        <f t="shared" si="218"/>
        <v>0.41409420000000013</v>
      </c>
      <c r="M821" s="187">
        <f t="shared" si="219"/>
        <v>0</v>
      </c>
      <c r="N821" s="187">
        <f t="shared" si="220"/>
        <v>0.12457560000000001</v>
      </c>
      <c r="O821" s="187">
        <f t="shared" si="221"/>
        <v>1.5544820640000002E-2</v>
      </c>
      <c r="P821" s="188">
        <f t="shared" si="222"/>
        <v>3.6894239255332403E+17</v>
      </c>
      <c r="Q821" s="187">
        <f t="shared" si="223"/>
        <v>1602.5921858931299</v>
      </c>
      <c r="R821" s="219">
        <f t="shared" si="224"/>
        <v>6.8194285714285936</v>
      </c>
      <c r="S821" s="219">
        <f t="shared" si="225"/>
        <v>0</v>
      </c>
      <c r="T821" s="219">
        <f t="shared" si="226"/>
        <v>49.116016754266205</v>
      </c>
      <c r="U821" s="219">
        <f t="shared" si="227"/>
        <v>0.38375672483396894</v>
      </c>
      <c r="V821" s="188">
        <f t="shared" si="228"/>
        <v>1.730082189159533E+16</v>
      </c>
      <c r="W821" s="323">
        <v>0.1202</v>
      </c>
      <c r="X821" s="323">
        <v>0.108</v>
      </c>
      <c r="Y821" s="323">
        <v>6.4399999999999999E-2</v>
      </c>
      <c r="Z821" s="323">
        <v>2.6709869764885499E-2</v>
      </c>
      <c r="AA821" s="323">
        <v>13.9</v>
      </c>
      <c r="AB821" s="323">
        <v>12.700000000000001</v>
      </c>
      <c r="AC821" s="323">
        <v>9.1</v>
      </c>
      <c r="AD821" s="323">
        <v>4.2552488596018598</v>
      </c>
      <c r="AE821" s="323">
        <v>0</v>
      </c>
      <c r="AF821" s="323">
        <v>0</v>
      </c>
      <c r="AG821" s="323">
        <v>0</v>
      </c>
      <c r="AH821" s="323">
        <v>0</v>
      </c>
      <c r="AI821" s="323">
        <v>2</v>
      </c>
      <c r="AJ821" s="323">
        <v>2.2000000000000002</v>
      </c>
      <c r="AK821" s="323">
        <v>4.7</v>
      </c>
      <c r="AL821" s="323">
        <v>30.647857381691701</v>
      </c>
      <c r="AM821" s="323">
        <v>0.41360000000000002</v>
      </c>
      <c r="AN821" s="323">
        <v>0.42599999999999999</v>
      </c>
      <c r="AO821" s="323">
        <v>0.30659999999999998</v>
      </c>
      <c r="AP821" s="323">
        <v>0.1905</v>
      </c>
      <c r="AQ821" s="323">
        <v>0.46256000000000003</v>
      </c>
      <c r="AR821" s="323">
        <v>0.47495999999999999</v>
      </c>
      <c r="AS821" s="323">
        <v>0.35555999999999999</v>
      </c>
      <c r="AT821" s="323">
        <v>0.23946000000000001</v>
      </c>
      <c r="AU821" s="190">
        <v>2720618715242621.5</v>
      </c>
      <c r="AV821" s="190">
        <v>3519634212436818.5</v>
      </c>
      <c r="AW821" s="190">
        <v>1.737484283555801E+16</v>
      </c>
      <c r="AX821" s="190">
        <v>1.079552367962753E+16</v>
      </c>
      <c r="AY821" s="203">
        <v>0.6</v>
      </c>
      <c r="BB821" s="204">
        <v>37446</v>
      </c>
      <c r="BC821" s="203" t="s">
        <v>3227</v>
      </c>
    </row>
    <row r="822" spans="1:55" x14ac:dyDescent="0.2">
      <c r="A822" s="184" t="s">
        <v>2892</v>
      </c>
      <c r="B822" s="184" t="s">
        <v>2891</v>
      </c>
      <c r="C822" s="184" t="s">
        <v>723</v>
      </c>
      <c r="D822" s="185" t="s">
        <v>2692</v>
      </c>
      <c r="E822" s="184" t="s">
        <v>2892</v>
      </c>
      <c r="F822" s="184" t="s">
        <v>2892</v>
      </c>
      <c r="G822" s="186">
        <f>IF(ALECA_Input!$F$13="ICAO (3000ft)",'Aircraft Calc'!C$216,'Aircraft Calc'!G$216)</f>
        <v>0.5</v>
      </c>
      <c r="H822" s="186">
        <f>IF(ALECA_Input!$F$13="ICAO (3000ft)",'Aircraft Calc'!D$216,'Aircraft Calc'!H$216)</f>
        <v>2.5</v>
      </c>
      <c r="I822" s="186">
        <f>IF(ALECA_Input!$F$13="ICAO (3000ft)",'Aircraft Calc'!E$216,'Aircraft Calc'!I$216)</f>
        <v>4.5</v>
      </c>
      <c r="J822" s="189">
        <v>1</v>
      </c>
      <c r="K822" s="187">
        <f t="shared" si="217"/>
        <v>37.221000000000004</v>
      </c>
      <c r="L822" s="187">
        <f t="shared" si="218"/>
        <v>0.41433990000000004</v>
      </c>
      <c r="M822" s="187">
        <f t="shared" si="219"/>
        <v>0</v>
      </c>
      <c r="N822" s="187">
        <f t="shared" si="220"/>
        <v>0.12470249999999999</v>
      </c>
      <c r="O822" s="187">
        <f t="shared" si="221"/>
        <v>1.555442076E-2</v>
      </c>
      <c r="P822" s="188">
        <f t="shared" si="222"/>
        <v>3.694115133098841E+17</v>
      </c>
      <c r="Q822" s="187">
        <f t="shared" si="223"/>
        <v>1606.520107917378</v>
      </c>
      <c r="R822" s="219">
        <f t="shared" si="224"/>
        <v>6.8361428571428799</v>
      </c>
      <c r="S822" s="219">
        <f t="shared" si="225"/>
        <v>0</v>
      </c>
      <c r="T822" s="219">
        <f t="shared" si="226"/>
        <v>49.236399148271765</v>
      </c>
      <c r="U822" s="219">
        <f t="shared" si="227"/>
        <v>0.38469730504189537</v>
      </c>
      <c r="V822" s="188">
        <f t="shared" si="228"/>
        <v>1.734322586681983E+16</v>
      </c>
      <c r="W822" s="323">
        <v>0.1202</v>
      </c>
      <c r="X822" s="323">
        <v>0.108</v>
      </c>
      <c r="Y822" s="323">
        <v>6.4500000000000002E-2</v>
      </c>
      <c r="Z822" s="323">
        <v>2.6775335131956301E-2</v>
      </c>
      <c r="AA822" s="323">
        <v>13.9</v>
      </c>
      <c r="AB822" s="323">
        <v>12.700000000000001</v>
      </c>
      <c r="AC822" s="323">
        <v>9.1</v>
      </c>
      <c r="AD822" s="323">
        <v>4.2552488596018598</v>
      </c>
      <c r="AE822" s="323">
        <v>0</v>
      </c>
      <c r="AF822" s="323">
        <v>0</v>
      </c>
      <c r="AG822" s="323">
        <v>0</v>
      </c>
      <c r="AH822" s="323">
        <v>0</v>
      </c>
      <c r="AI822" s="323">
        <v>2</v>
      </c>
      <c r="AJ822" s="323">
        <v>2.2000000000000002</v>
      </c>
      <c r="AK822" s="323">
        <v>4.7</v>
      </c>
      <c r="AL822" s="323">
        <v>30.647857381691701</v>
      </c>
      <c r="AM822" s="323">
        <v>0.41360000000000002</v>
      </c>
      <c r="AN822" s="323">
        <v>0.42599999999999999</v>
      </c>
      <c r="AO822" s="323">
        <v>0.30659999999999998</v>
      </c>
      <c r="AP822" s="323">
        <v>0.1905</v>
      </c>
      <c r="AQ822" s="323">
        <v>0.46256000000000003</v>
      </c>
      <c r="AR822" s="323">
        <v>0.47495999999999999</v>
      </c>
      <c r="AS822" s="323">
        <v>0.35555999999999999</v>
      </c>
      <c r="AT822" s="323">
        <v>0.23946000000000001</v>
      </c>
      <c r="AU822" s="190">
        <v>2720618715242621.5</v>
      </c>
      <c r="AV822" s="190">
        <v>3519634212436818.5</v>
      </c>
      <c r="AW822" s="190">
        <v>1.737484283555801E+16</v>
      </c>
      <c r="AX822" s="190">
        <v>1.079552367962753E+16</v>
      </c>
      <c r="AY822" s="203">
        <v>0.6</v>
      </c>
      <c r="BB822" s="204">
        <v>37446</v>
      </c>
      <c r="BC822" s="203" t="s">
        <v>3227</v>
      </c>
    </row>
    <row r="823" spans="1:55" x14ac:dyDescent="0.2">
      <c r="A823" s="184" t="s">
        <v>290</v>
      </c>
      <c r="B823" s="184" t="s">
        <v>2893</v>
      </c>
      <c r="C823" s="184" t="s">
        <v>723</v>
      </c>
      <c r="D823" s="185" t="s">
        <v>2692</v>
      </c>
      <c r="E823" s="184" t="s">
        <v>290</v>
      </c>
      <c r="F823" s="184" t="s">
        <v>290</v>
      </c>
      <c r="G823" s="186">
        <f>IF(ALECA_Input!$F$13="ICAO (3000ft)",'Aircraft Calc'!C$216,'Aircraft Calc'!G$216)</f>
        <v>0.5</v>
      </c>
      <c r="H823" s="186">
        <f>IF(ALECA_Input!$F$13="ICAO (3000ft)",'Aircraft Calc'!D$216,'Aircraft Calc'!H$216)</f>
        <v>2.5</v>
      </c>
      <c r="I823" s="186">
        <f>IF(ALECA_Input!$F$13="ICAO (3000ft)",'Aircraft Calc'!E$216,'Aircraft Calc'!I$216)</f>
        <v>4.5</v>
      </c>
      <c r="J823" s="189">
        <v>1</v>
      </c>
      <c r="K823" s="187">
        <f t="shared" si="217"/>
        <v>44.462999999999994</v>
      </c>
      <c r="L823" s="187">
        <f t="shared" si="218"/>
        <v>0.57642389999999999</v>
      </c>
      <c r="M823" s="187">
        <f t="shared" si="219"/>
        <v>0</v>
      </c>
      <c r="N823" s="187">
        <f t="shared" si="220"/>
        <v>0.12146430000000001</v>
      </c>
      <c r="O823" s="187">
        <f t="shared" si="221"/>
        <v>1.985934978E-2</v>
      </c>
      <c r="P823" s="188">
        <f t="shared" si="222"/>
        <v>4.7710527181008115E+17</v>
      </c>
      <c r="Q823" s="187">
        <f t="shared" si="223"/>
        <v>2128.9337371423439</v>
      </c>
      <c r="R823" s="219">
        <f t="shared" si="224"/>
        <v>10.452857142857178</v>
      </c>
      <c r="S823" s="219">
        <f t="shared" si="225"/>
        <v>0</v>
      </c>
      <c r="T823" s="219">
        <f t="shared" si="226"/>
        <v>40.88776138789968</v>
      </c>
      <c r="U823" s="219">
        <f t="shared" si="227"/>
        <v>0.52256807511895975</v>
      </c>
      <c r="V823" s="188">
        <f t="shared" si="228"/>
        <v>2.3706827156612848E+16</v>
      </c>
      <c r="W823" s="323">
        <v>0.1457</v>
      </c>
      <c r="X823" s="323">
        <v>0.1303</v>
      </c>
      <c r="Y823" s="323">
        <v>7.6100000000000001E-2</v>
      </c>
      <c r="Z823" s="323">
        <v>3.5482228952372401E-2</v>
      </c>
      <c r="AA823" s="323">
        <v>16.899999999999999</v>
      </c>
      <c r="AB823" s="323">
        <v>15.200000000000001</v>
      </c>
      <c r="AC823" s="323">
        <v>10</v>
      </c>
      <c r="AD823" s="323">
        <v>4.9099025303098403</v>
      </c>
      <c r="AE823" s="323">
        <v>0</v>
      </c>
      <c r="AF823" s="323">
        <v>0</v>
      </c>
      <c r="AG823" s="323">
        <v>0</v>
      </c>
      <c r="AH823" s="323">
        <v>0</v>
      </c>
      <c r="AI823" s="323">
        <v>1.9000000000000001</v>
      </c>
      <c r="AJ823" s="323">
        <v>1.9000000000000001</v>
      </c>
      <c r="AK823" s="323">
        <v>3.7</v>
      </c>
      <c r="AL823" s="323">
        <v>19.205746367091301</v>
      </c>
      <c r="AM823" s="323">
        <v>0.43230000000000002</v>
      </c>
      <c r="AN823" s="323">
        <v>0.45479999999999998</v>
      </c>
      <c r="AO823" s="323">
        <v>0.33600000000000002</v>
      </c>
      <c r="AP823" s="323">
        <v>0.19650000000000001</v>
      </c>
      <c r="AQ823" s="323">
        <v>0.48126000000000002</v>
      </c>
      <c r="AR823" s="323">
        <v>0.50375999999999999</v>
      </c>
      <c r="AS823" s="323">
        <v>0.38496000000000002</v>
      </c>
      <c r="AT823" s="323">
        <v>0.24546000000000001</v>
      </c>
      <c r="AU823" s="190">
        <v>2843625412474335.5</v>
      </c>
      <c r="AV823" s="190">
        <v>3757581314122688</v>
      </c>
      <c r="AW823" s="190">
        <v>1.904092365540604E+16</v>
      </c>
      <c r="AX823" s="190">
        <v>1.1135540173474066E+16</v>
      </c>
      <c r="AY823" s="203">
        <v>0.8</v>
      </c>
      <c r="BB823" s="204">
        <v>37446</v>
      </c>
      <c r="BC823" s="203" t="s">
        <v>3227</v>
      </c>
    </row>
    <row r="824" spans="1:55" x14ac:dyDescent="0.2">
      <c r="A824" s="184" t="s">
        <v>2895</v>
      </c>
      <c r="B824" s="184" t="s">
        <v>2894</v>
      </c>
      <c r="C824" s="184" t="s">
        <v>723</v>
      </c>
      <c r="D824" s="185" t="s">
        <v>2692</v>
      </c>
      <c r="E824" s="184" t="s">
        <v>2895</v>
      </c>
      <c r="F824" s="184" t="s">
        <v>2895</v>
      </c>
      <c r="G824" s="186">
        <f>IF(ALECA_Input!$F$13="ICAO (3000ft)",'Aircraft Calc'!C$216,'Aircraft Calc'!G$216)</f>
        <v>0.5</v>
      </c>
      <c r="H824" s="186">
        <f>IF(ALECA_Input!$F$13="ICAO (3000ft)",'Aircraft Calc'!D$216,'Aircraft Calc'!H$216)</f>
        <v>2.5</v>
      </c>
      <c r="I824" s="186">
        <f>IF(ALECA_Input!$F$13="ICAO (3000ft)",'Aircraft Calc'!E$216,'Aircraft Calc'!I$216)</f>
        <v>4.5</v>
      </c>
      <c r="J824" s="189">
        <v>1</v>
      </c>
      <c r="K824" s="187">
        <f t="shared" si="217"/>
        <v>44.462999999999994</v>
      </c>
      <c r="L824" s="187">
        <f t="shared" si="218"/>
        <v>0.57642389999999999</v>
      </c>
      <c r="M824" s="187">
        <f t="shared" si="219"/>
        <v>0</v>
      </c>
      <c r="N824" s="187">
        <f t="shared" si="220"/>
        <v>0.12146430000000001</v>
      </c>
      <c r="O824" s="187">
        <f t="shared" si="221"/>
        <v>1.985934978E-2</v>
      </c>
      <c r="P824" s="188">
        <f t="shared" si="222"/>
        <v>4.7710527181008115E+17</v>
      </c>
      <c r="Q824" s="187">
        <f t="shared" si="223"/>
        <v>2128.9337371423439</v>
      </c>
      <c r="R824" s="219">
        <f t="shared" si="224"/>
        <v>10.452857142857178</v>
      </c>
      <c r="S824" s="219">
        <f t="shared" si="225"/>
        <v>0</v>
      </c>
      <c r="T824" s="219">
        <f t="shared" si="226"/>
        <v>40.88776138789968</v>
      </c>
      <c r="U824" s="219">
        <f t="shared" si="227"/>
        <v>0.52256807511895975</v>
      </c>
      <c r="V824" s="188">
        <f t="shared" si="228"/>
        <v>2.3706827156612848E+16</v>
      </c>
      <c r="W824" s="323">
        <v>0.1457</v>
      </c>
      <c r="X824" s="323">
        <v>0.1303</v>
      </c>
      <c r="Y824" s="323">
        <v>7.6100000000000001E-2</v>
      </c>
      <c r="Z824" s="323">
        <v>3.5482228952372401E-2</v>
      </c>
      <c r="AA824" s="323">
        <v>16.899999999999999</v>
      </c>
      <c r="AB824" s="323">
        <v>15.200000000000001</v>
      </c>
      <c r="AC824" s="323">
        <v>10</v>
      </c>
      <c r="AD824" s="323">
        <v>4.9099025303098403</v>
      </c>
      <c r="AE824" s="323">
        <v>0</v>
      </c>
      <c r="AF824" s="323">
        <v>0</v>
      </c>
      <c r="AG824" s="323">
        <v>0</v>
      </c>
      <c r="AH824" s="323">
        <v>0</v>
      </c>
      <c r="AI824" s="323">
        <v>1.9000000000000001</v>
      </c>
      <c r="AJ824" s="323">
        <v>1.9000000000000001</v>
      </c>
      <c r="AK824" s="323">
        <v>3.7</v>
      </c>
      <c r="AL824" s="323">
        <v>19.205746367091301</v>
      </c>
      <c r="AM824" s="323">
        <v>0.43230000000000002</v>
      </c>
      <c r="AN824" s="323">
        <v>0.45479999999999998</v>
      </c>
      <c r="AO824" s="323">
        <v>0.33600000000000002</v>
      </c>
      <c r="AP824" s="323">
        <v>0.19650000000000001</v>
      </c>
      <c r="AQ824" s="323">
        <v>0.48126000000000002</v>
      </c>
      <c r="AR824" s="323">
        <v>0.50375999999999999</v>
      </c>
      <c r="AS824" s="323">
        <v>0.38496000000000002</v>
      </c>
      <c r="AT824" s="323">
        <v>0.24546000000000001</v>
      </c>
      <c r="AU824" s="190">
        <v>2843625412474335.5</v>
      </c>
      <c r="AV824" s="190">
        <v>3757581314122688</v>
      </c>
      <c r="AW824" s="190">
        <v>1.904092365540604E+16</v>
      </c>
      <c r="AX824" s="190">
        <v>1.1135540173474066E+16</v>
      </c>
      <c r="AY824" s="203">
        <v>0.8</v>
      </c>
      <c r="BB824" s="204">
        <v>37446</v>
      </c>
      <c r="BC824" s="203" t="s">
        <v>3227</v>
      </c>
    </row>
    <row r="825" spans="1:55" x14ac:dyDescent="0.2">
      <c r="A825" s="184" t="s">
        <v>2897</v>
      </c>
      <c r="B825" s="184" t="s">
        <v>2896</v>
      </c>
      <c r="C825" s="184" t="s">
        <v>723</v>
      </c>
      <c r="D825" s="185" t="s">
        <v>2692</v>
      </c>
      <c r="E825" s="184" t="s">
        <v>2897</v>
      </c>
      <c r="F825" s="184" t="s">
        <v>2897</v>
      </c>
      <c r="G825" s="186">
        <f>IF(ALECA_Input!$F$13="ICAO (3000ft)",'Aircraft Calc'!C$216,'Aircraft Calc'!G$216)</f>
        <v>0.5</v>
      </c>
      <c r="H825" s="186">
        <f>IF(ALECA_Input!$F$13="ICAO (3000ft)",'Aircraft Calc'!D$216,'Aircraft Calc'!H$216)</f>
        <v>2.5</v>
      </c>
      <c r="I825" s="186">
        <f>IF(ALECA_Input!$F$13="ICAO (3000ft)",'Aircraft Calc'!E$216,'Aircraft Calc'!I$216)</f>
        <v>4.5</v>
      </c>
      <c r="J825" s="189">
        <v>1</v>
      </c>
      <c r="K825" s="187">
        <f t="shared" si="217"/>
        <v>40.719000000000001</v>
      </c>
      <c r="L825" s="187">
        <f t="shared" si="218"/>
        <v>0.46452150000000009</v>
      </c>
      <c r="M825" s="187">
        <f t="shared" si="219"/>
        <v>0</v>
      </c>
      <c r="N825" s="187">
        <f t="shared" si="220"/>
        <v>0.135405</v>
      </c>
      <c r="O825" s="187">
        <f t="shared" si="221"/>
        <v>1.8129767040000001E-2</v>
      </c>
      <c r="P825" s="188">
        <f t="shared" si="222"/>
        <v>4.3085964352755053E+17</v>
      </c>
      <c r="Q825" s="187">
        <f t="shared" si="223"/>
        <v>1767.56491091154</v>
      </c>
      <c r="R825" s="219">
        <f t="shared" si="224"/>
        <v>7.6371428571428828</v>
      </c>
      <c r="S825" s="219">
        <f t="shared" si="225"/>
        <v>0</v>
      </c>
      <c r="T825" s="219">
        <f t="shared" si="226"/>
        <v>51.72911076539517</v>
      </c>
      <c r="U825" s="219">
        <f t="shared" si="227"/>
        <v>0.4312151356659793</v>
      </c>
      <c r="V825" s="188">
        <f t="shared" si="228"/>
        <v>1.9532539768764984E+16</v>
      </c>
      <c r="W825" s="323">
        <v>0.1353</v>
      </c>
      <c r="X825" s="323">
        <v>0.1202</v>
      </c>
      <c r="Y825" s="323">
        <v>6.9000000000000006E-2</v>
      </c>
      <c r="Z825" s="323">
        <v>2.9459415181858999E-2</v>
      </c>
      <c r="AA825" s="323">
        <v>14.5</v>
      </c>
      <c r="AB825" s="323">
        <v>13.200000000000001</v>
      </c>
      <c r="AC825" s="323">
        <v>9</v>
      </c>
      <c r="AD825" s="323">
        <v>4.3207142266726599</v>
      </c>
      <c r="AE825" s="323">
        <v>0</v>
      </c>
      <c r="AF825" s="323">
        <v>0</v>
      </c>
      <c r="AG825" s="323">
        <v>0</v>
      </c>
      <c r="AH825" s="323">
        <v>0</v>
      </c>
      <c r="AI825" s="323">
        <v>2</v>
      </c>
      <c r="AJ825" s="323">
        <v>2.1</v>
      </c>
      <c r="AK825" s="323">
        <v>4.8</v>
      </c>
      <c r="AL825" s="323">
        <v>29.2657488537257</v>
      </c>
      <c r="AM825" s="323">
        <v>0.43120000000000003</v>
      </c>
      <c r="AN825" s="323">
        <v>0.4536</v>
      </c>
      <c r="AO825" s="323">
        <v>0.3332</v>
      </c>
      <c r="AP825" s="323">
        <v>0.19500000000000001</v>
      </c>
      <c r="AQ825" s="323">
        <v>0.48015999999999998</v>
      </c>
      <c r="AR825" s="323">
        <v>0.50256000000000001</v>
      </c>
      <c r="AS825" s="323">
        <v>0.38216</v>
      </c>
      <c r="AT825" s="323">
        <v>0.24396000000000001</v>
      </c>
      <c r="AU825" s="190">
        <v>2836389724401882</v>
      </c>
      <c r="AV825" s="190">
        <v>3747666851552444</v>
      </c>
      <c r="AW825" s="190">
        <v>1.8882249291610988E+16</v>
      </c>
      <c r="AX825" s="190">
        <v>1.1050536050012432E+16</v>
      </c>
      <c r="AY825" s="203">
        <v>0.6</v>
      </c>
      <c r="BB825" s="204">
        <v>37446</v>
      </c>
      <c r="BC825" s="203" t="s">
        <v>3227</v>
      </c>
    </row>
    <row r="826" spans="1:55" x14ac:dyDescent="0.2">
      <c r="A826" s="184" t="s">
        <v>2899</v>
      </c>
      <c r="B826" s="184" t="s">
        <v>2898</v>
      </c>
      <c r="C826" s="184" t="s">
        <v>723</v>
      </c>
      <c r="D826" s="185" t="s">
        <v>2692</v>
      </c>
      <c r="E826" s="184" t="s">
        <v>2899</v>
      </c>
      <c r="F826" s="184" t="s">
        <v>2899</v>
      </c>
      <c r="G826" s="186">
        <f>IF(ALECA_Input!$F$13="ICAO (3000ft)",'Aircraft Calc'!C$216,'Aircraft Calc'!G$216)</f>
        <v>0.5</v>
      </c>
      <c r="H826" s="186">
        <f>IF(ALECA_Input!$F$13="ICAO (3000ft)",'Aircraft Calc'!D$216,'Aircraft Calc'!H$216)</f>
        <v>2.5</v>
      </c>
      <c r="I826" s="186">
        <f>IF(ALECA_Input!$F$13="ICAO (3000ft)",'Aircraft Calc'!E$216,'Aircraft Calc'!I$216)</f>
        <v>4.5</v>
      </c>
      <c r="J826" s="189">
        <v>1</v>
      </c>
      <c r="K826" s="187">
        <f t="shared" si="217"/>
        <v>41.325000000000003</v>
      </c>
      <c r="L826" s="187">
        <f t="shared" si="218"/>
        <v>0.47850480000000006</v>
      </c>
      <c r="M826" s="187">
        <f t="shared" si="219"/>
        <v>0</v>
      </c>
      <c r="N826" s="187">
        <f t="shared" si="220"/>
        <v>0.13536869999999998</v>
      </c>
      <c r="O826" s="187">
        <f t="shared" si="221"/>
        <v>1.8485962200000004E-2</v>
      </c>
      <c r="P826" s="188">
        <f t="shared" si="222"/>
        <v>4.3953362387253184E+17</v>
      </c>
      <c r="Q826" s="187">
        <f t="shared" si="223"/>
        <v>1783.276599008532</v>
      </c>
      <c r="R826" s="219">
        <f t="shared" si="224"/>
        <v>7.7050285714286</v>
      </c>
      <c r="S826" s="219">
        <f t="shared" si="225"/>
        <v>0</v>
      </c>
      <c r="T826" s="219">
        <f t="shared" si="226"/>
        <v>51.695988724267607</v>
      </c>
      <c r="U826" s="219">
        <f t="shared" si="227"/>
        <v>0.43772307399263427</v>
      </c>
      <c r="V826" s="188">
        <f t="shared" si="228"/>
        <v>1.9857748208675712E+16</v>
      </c>
      <c r="W826" s="323">
        <v>0.13780000000000001</v>
      </c>
      <c r="X826" s="323">
        <v>0.12230000000000001</v>
      </c>
      <c r="Y826" s="323">
        <v>6.9800000000000001E-2</v>
      </c>
      <c r="Z826" s="323">
        <v>2.9721276650142198E-2</v>
      </c>
      <c r="AA826" s="323">
        <v>14.8</v>
      </c>
      <c r="AB826" s="323">
        <v>13.4</v>
      </c>
      <c r="AC826" s="323">
        <v>9.1</v>
      </c>
      <c r="AD826" s="323">
        <v>4.3207142266726599</v>
      </c>
      <c r="AE826" s="323">
        <v>0</v>
      </c>
      <c r="AF826" s="323">
        <v>0</v>
      </c>
      <c r="AG826" s="323">
        <v>0</v>
      </c>
      <c r="AH826" s="323">
        <v>0</v>
      </c>
      <c r="AI826" s="323">
        <v>2</v>
      </c>
      <c r="AJ826" s="323">
        <v>2.1</v>
      </c>
      <c r="AK826" s="323">
        <v>4.7</v>
      </c>
      <c r="AL826" s="323">
        <v>28.989327148132599</v>
      </c>
      <c r="AM826" s="323">
        <v>0.43230000000000002</v>
      </c>
      <c r="AN826" s="323">
        <v>0.45479999999999998</v>
      </c>
      <c r="AO826" s="323">
        <v>0.33600000000000002</v>
      </c>
      <c r="AP826" s="323">
        <v>0.19650000000000001</v>
      </c>
      <c r="AQ826" s="323">
        <v>0.48126000000000002</v>
      </c>
      <c r="AR826" s="323">
        <v>0.50375999999999999</v>
      </c>
      <c r="AS826" s="323">
        <v>0.38496000000000002</v>
      </c>
      <c r="AT826" s="323">
        <v>0.24546000000000001</v>
      </c>
      <c r="AU826" s="190">
        <v>2843625412474335.5</v>
      </c>
      <c r="AV826" s="190">
        <v>3757581314122688</v>
      </c>
      <c r="AW826" s="190">
        <v>1.904092365540604E+16</v>
      </c>
      <c r="AX826" s="190">
        <v>1.1135540173474066E+16</v>
      </c>
      <c r="AY826" s="203">
        <v>0.7</v>
      </c>
      <c r="BB826" s="204">
        <v>37446</v>
      </c>
      <c r="BC826" s="203" t="s">
        <v>3227</v>
      </c>
    </row>
    <row r="827" spans="1:55" x14ac:dyDescent="0.2">
      <c r="A827" s="184" t="s">
        <v>2901</v>
      </c>
      <c r="B827" s="184" t="s">
        <v>2900</v>
      </c>
      <c r="C827" s="184" t="s">
        <v>723</v>
      </c>
      <c r="D827" s="185" t="s">
        <v>2692</v>
      </c>
      <c r="E827" s="184" t="s">
        <v>2901</v>
      </c>
      <c r="F827" s="184" t="s">
        <v>2901</v>
      </c>
      <c r="G827" s="186">
        <f>IF(ALECA_Input!$F$13="ICAO (3000ft)",'Aircraft Calc'!C$216,'Aircraft Calc'!G$216)</f>
        <v>0.5</v>
      </c>
      <c r="H827" s="186">
        <f>IF(ALECA_Input!$F$13="ICAO (3000ft)",'Aircraft Calc'!D$216,'Aircraft Calc'!H$216)</f>
        <v>2.5</v>
      </c>
      <c r="I827" s="186">
        <f>IF(ALECA_Input!$F$13="ICAO (3000ft)",'Aircraft Calc'!E$216,'Aircraft Calc'!I$216)</f>
        <v>4.5</v>
      </c>
      <c r="J827" s="189">
        <v>1</v>
      </c>
      <c r="K827" s="187">
        <f t="shared" si="217"/>
        <v>44.475000000000009</v>
      </c>
      <c r="L827" s="187">
        <f t="shared" si="218"/>
        <v>0.59835329999999998</v>
      </c>
      <c r="M827" s="187">
        <f t="shared" si="219"/>
        <v>0</v>
      </c>
      <c r="N827" s="187">
        <f t="shared" si="220"/>
        <v>0.11874390000000001</v>
      </c>
      <c r="O827" s="187">
        <f t="shared" si="221"/>
        <v>2.0427804600000002E-2</v>
      </c>
      <c r="P827" s="188">
        <f t="shared" si="222"/>
        <v>4.8876366643394752E+17</v>
      </c>
      <c r="Q827" s="187">
        <f t="shared" si="223"/>
        <v>1999.312310342166</v>
      </c>
      <c r="R827" s="219">
        <f t="shared" si="224"/>
        <v>9.816428571428613</v>
      </c>
      <c r="S827" s="219">
        <f t="shared" si="225"/>
        <v>0</v>
      </c>
      <c r="T827" s="219">
        <f t="shared" si="226"/>
        <v>39.503591778711488</v>
      </c>
      <c r="U827" s="219">
        <f t="shared" si="227"/>
        <v>0.4967491366276145</v>
      </c>
      <c r="V827" s="188">
        <f t="shared" si="228"/>
        <v>2.260332213206982E+16</v>
      </c>
      <c r="W827" s="323">
        <v>0.14860000000000001</v>
      </c>
      <c r="X827" s="323">
        <v>0.13250000000000001</v>
      </c>
      <c r="Y827" s="323">
        <v>7.46E-2</v>
      </c>
      <c r="Z827" s="323">
        <v>3.33218718390361E-2</v>
      </c>
      <c r="AA827" s="323">
        <v>17.7</v>
      </c>
      <c r="AB827" s="323">
        <v>15.9</v>
      </c>
      <c r="AC827" s="323">
        <v>10.1</v>
      </c>
      <c r="AD827" s="323">
        <v>4.9099025303098403</v>
      </c>
      <c r="AE827" s="323">
        <v>0</v>
      </c>
      <c r="AF827" s="323">
        <v>0</v>
      </c>
      <c r="AG827" s="323">
        <v>0</v>
      </c>
      <c r="AH827" s="323">
        <v>0</v>
      </c>
      <c r="AI827" s="323">
        <v>1.9000000000000001</v>
      </c>
      <c r="AJ827" s="323">
        <v>1.9000000000000001</v>
      </c>
      <c r="AK827" s="323">
        <v>3.6</v>
      </c>
      <c r="AL827" s="323">
        <v>19.758589778277699</v>
      </c>
      <c r="AM827" s="323">
        <v>0.43669999999999998</v>
      </c>
      <c r="AN827" s="323">
        <v>0.46560000000000001</v>
      </c>
      <c r="AO827" s="323">
        <v>0.35</v>
      </c>
      <c r="AP827" s="323">
        <v>0.19950000000000001</v>
      </c>
      <c r="AQ827" s="323">
        <v>0.48565999999999998</v>
      </c>
      <c r="AR827" s="323">
        <v>0.51456000000000002</v>
      </c>
      <c r="AS827" s="323">
        <v>0.39895999999999998</v>
      </c>
      <c r="AT827" s="323">
        <v>0.24845999999999999</v>
      </c>
      <c r="AU827" s="190">
        <v>2872568164764151</v>
      </c>
      <c r="AV827" s="190">
        <v>3846811477254889.5</v>
      </c>
      <c r="AW827" s="190">
        <v>1.9834295474381292E+16</v>
      </c>
      <c r="AX827" s="190">
        <v>1.1305548420397334E+16</v>
      </c>
      <c r="AY827" s="203">
        <v>0.8</v>
      </c>
      <c r="BB827" s="204">
        <v>37446</v>
      </c>
      <c r="BC827" s="203" t="s">
        <v>3227</v>
      </c>
    </row>
    <row r="828" spans="1:55" x14ac:dyDescent="0.2">
      <c r="A828" s="184" t="s">
        <v>2903</v>
      </c>
      <c r="B828" s="184" t="s">
        <v>2902</v>
      </c>
      <c r="C828" s="184" t="s">
        <v>723</v>
      </c>
      <c r="D828" s="185" t="s">
        <v>2692</v>
      </c>
      <c r="E828" s="184" t="s">
        <v>2903</v>
      </c>
      <c r="F828" s="184" t="s">
        <v>2903</v>
      </c>
      <c r="G828" s="186">
        <f>IF(ALECA_Input!$F$13="ICAO (3000ft)",'Aircraft Calc'!C$216,'Aircraft Calc'!G$216)</f>
        <v>0.5</v>
      </c>
      <c r="H828" s="186">
        <f>IF(ALECA_Input!$F$13="ICAO (3000ft)",'Aircraft Calc'!D$216,'Aircraft Calc'!H$216)</f>
        <v>2.5</v>
      </c>
      <c r="I828" s="186">
        <f>IF(ALECA_Input!$F$13="ICAO (3000ft)",'Aircraft Calc'!E$216,'Aircraft Calc'!I$216)</f>
        <v>4.5</v>
      </c>
      <c r="J828" s="189">
        <v>1</v>
      </c>
      <c r="K828" s="187">
        <f t="shared" si="217"/>
        <v>45.224999999999994</v>
      </c>
      <c r="L828" s="187">
        <f t="shared" si="218"/>
        <v>0.62263380000000002</v>
      </c>
      <c r="M828" s="187">
        <f t="shared" si="219"/>
        <v>0</v>
      </c>
      <c r="N828" s="187">
        <f t="shared" si="220"/>
        <v>0.11882849999999999</v>
      </c>
      <c r="O828" s="187">
        <f t="shared" si="221"/>
        <v>2.1062753399999998E-2</v>
      </c>
      <c r="P828" s="188">
        <f t="shared" si="222"/>
        <v>5.0415032681824198E+17</v>
      </c>
      <c r="Q828" s="187">
        <f t="shared" si="223"/>
        <v>1967.8889341481822</v>
      </c>
      <c r="R828" s="219">
        <f t="shared" si="224"/>
        <v>9.275657142857165</v>
      </c>
      <c r="S828" s="219">
        <f t="shared" si="225"/>
        <v>0</v>
      </c>
      <c r="T828" s="219">
        <f t="shared" si="226"/>
        <v>42.360661282141145</v>
      </c>
      <c r="U828" s="219">
        <f t="shared" si="227"/>
        <v>0.49189351797967962</v>
      </c>
      <c r="V828" s="188">
        <f t="shared" si="228"/>
        <v>2.2415342304893492E+16</v>
      </c>
      <c r="W828" s="323">
        <v>0.15260000000000001</v>
      </c>
      <c r="X828" s="323">
        <v>0.1358</v>
      </c>
      <c r="Y828" s="323">
        <v>7.51E-2</v>
      </c>
      <c r="Z828" s="323">
        <v>3.2798148902469702E-2</v>
      </c>
      <c r="AA828" s="323">
        <v>18.3</v>
      </c>
      <c r="AB828" s="323">
        <v>16.3</v>
      </c>
      <c r="AC828" s="323">
        <v>10.200000000000001</v>
      </c>
      <c r="AD828" s="323">
        <v>4.71350642909744</v>
      </c>
      <c r="AE828" s="323">
        <v>0</v>
      </c>
      <c r="AF828" s="323">
        <v>0</v>
      </c>
      <c r="AG828" s="323">
        <v>0</v>
      </c>
      <c r="AH828" s="323">
        <v>0</v>
      </c>
      <c r="AI828" s="323">
        <v>2</v>
      </c>
      <c r="AJ828" s="323">
        <v>1.9000000000000001</v>
      </c>
      <c r="AK828" s="323">
        <v>3.5</v>
      </c>
      <c r="AL828" s="323">
        <v>21.525941097116501</v>
      </c>
      <c r="AM828" s="323">
        <v>0.43669999999999998</v>
      </c>
      <c r="AN828" s="323">
        <v>0.47039999999999998</v>
      </c>
      <c r="AO828" s="323">
        <v>0.3584</v>
      </c>
      <c r="AP828" s="323">
        <v>0.20100000000000001</v>
      </c>
      <c r="AQ828" s="323">
        <v>0.48565999999999998</v>
      </c>
      <c r="AR828" s="323">
        <v>0.51936000000000004</v>
      </c>
      <c r="AS828" s="323">
        <v>0.40736</v>
      </c>
      <c r="AT828" s="323">
        <v>0.24995999999999999</v>
      </c>
      <c r="AU828" s="190">
        <v>2872568164764151</v>
      </c>
      <c r="AV828" s="190">
        <v>3886469327535867.5</v>
      </c>
      <c r="AW828" s="190">
        <v>2.031031856576644E+16</v>
      </c>
      <c r="AX828" s="190">
        <v>1.1390552543858968E+16</v>
      </c>
      <c r="AY828" s="203">
        <v>0.8</v>
      </c>
      <c r="BB828" s="204">
        <v>37446</v>
      </c>
      <c r="BC828" s="203" t="s">
        <v>3227</v>
      </c>
    </row>
    <row r="829" spans="1:55" x14ac:dyDescent="0.2">
      <c r="A829" s="184" t="s">
        <v>2905</v>
      </c>
      <c r="B829" s="184" t="s">
        <v>2904</v>
      </c>
      <c r="C829" s="184" t="s">
        <v>723</v>
      </c>
      <c r="D829" s="185" t="s">
        <v>2692</v>
      </c>
      <c r="E829" s="184" t="s">
        <v>2905</v>
      </c>
      <c r="F829" s="184" t="s">
        <v>2905</v>
      </c>
      <c r="G829" s="186">
        <f>IF(ALECA_Input!$F$13="ICAO (3000ft)",'Aircraft Calc'!C$216,'Aircraft Calc'!G$216)</f>
        <v>0.5</v>
      </c>
      <c r="H829" s="186">
        <f>IF(ALECA_Input!$F$13="ICAO (3000ft)",'Aircraft Calc'!D$216,'Aircraft Calc'!H$216)</f>
        <v>2.5</v>
      </c>
      <c r="I829" s="186">
        <f>IF(ALECA_Input!$F$13="ICAO (3000ft)",'Aircraft Calc'!E$216,'Aircraft Calc'!I$216)</f>
        <v>4.5</v>
      </c>
      <c r="J829" s="189">
        <v>1</v>
      </c>
      <c r="K829" s="187">
        <f t="shared" si="217"/>
        <v>42.201000000000001</v>
      </c>
      <c r="L829" s="187">
        <f t="shared" si="218"/>
        <v>0.53615160000000006</v>
      </c>
      <c r="M829" s="187">
        <f t="shared" si="219"/>
        <v>0</v>
      </c>
      <c r="N829" s="187">
        <f t="shared" si="220"/>
        <v>0.1191159</v>
      </c>
      <c r="O829" s="187">
        <f t="shared" si="221"/>
        <v>1.8771770159999999E-2</v>
      </c>
      <c r="P829" s="188">
        <f t="shared" si="222"/>
        <v>4.4899931636243674E+17</v>
      </c>
      <c r="Q829" s="187">
        <f t="shared" si="223"/>
        <v>1960.033090099686</v>
      </c>
      <c r="R829" s="219">
        <f t="shared" si="224"/>
        <v>9.4952571428571737</v>
      </c>
      <c r="S829" s="219">
        <f t="shared" si="225"/>
        <v>0</v>
      </c>
      <c r="T829" s="219">
        <f t="shared" si="226"/>
        <v>40.352876848483113</v>
      </c>
      <c r="U829" s="219">
        <f t="shared" si="227"/>
        <v>0.47816967266071941</v>
      </c>
      <c r="V829" s="188">
        <f t="shared" si="228"/>
        <v>2.1659416321363848E+16</v>
      </c>
      <c r="W829" s="323">
        <v>0.13830000000000001</v>
      </c>
      <c r="X829" s="323">
        <v>0.1239</v>
      </c>
      <c r="Y829" s="323">
        <v>7.2099999999999997E-2</v>
      </c>
      <c r="Z829" s="323">
        <v>3.2667218168328099E-2</v>
      </c>
      <c r="AA829" s="323">
        <v>16.5</v>
      </c>
      <c r="AB829" s="323">
        <v>14.9</v>
      </c>
      <c r="AC829" s="323">
        <v>9.8000000000000007</v>
      </c>
      <c r="AD829" s="323">
        <v>4.8444371632390402</v>
      </c>
      <c r="AE829" s="323">
        <v>0</v>
      </c>
      <c r="AF829" s="323">
        <v>0</v>
      </c>
      <c r="AG829" s="323">
        <v>0</v>
      </c>
      <c r="AH829" s="323">
        <v>0</v>
      </c>
      <c r="AI829" s="323">
        <v>1.9000000000000001</v>
      </c>
      <c r="AJ829" s="323">
        <v>1.9000000000000001</v>
      </c>
      <c r="AK829" s="323">
        <v>3.9</v>
      </c>
      <c r="AL829" s="323">
        <v>20.587854895057301</v>
      </c>
      <c r="AM829" s="323">
        <v>0.43120000000000003</v>
      </c>
      <c r="AN829" s="323">
        <v>0.4536</v>
      </c>
      <c r="AO829" s="323">
        <v>0.3332</v>
      </c>
      <c r="AP829" s="323">
        <v>0.19500000000000001</v>
      </c>
      <c r="AQ829" s="323">
        <v>0.48015999999999998</v>
      </c>
      <c r="AR829" s="323">
        <v>0.50256000000000001</v>
      </c>
      <c r="AS829" s="323">
        <v>0.38216</v>
      </c>
      <c r="AT829" s="323">
        <v>0.24396000000000001</v>
      </c>
      <c r="AU829" s="190">
        <v>2836389724401882</v>
      </c>
      <c r="AV829" s="190">
        <v>3747666851552444</v>
      </c>
      <c r="AW829" s="190">
        <v>1.8882249291610988E+16</v>
      </c>
      <c r="AX829" s="190">
        <v>1.1050536050012432E+16</v>
      </c>
      <c r="AY829" s="203">
        <v>0.8</v>
      </c>
      <c r="BB829" s="204">
        <v>37446</v>
      </c>
      <c r="BC829" s="203" t="s">
        <v>3227</v>
      </c>
    </row>
    <row r="830" spans="1:55" x14ac:dyDescent="0.2">
      <c r="A830" s="184" t="s">
        <v>2907</v>
      </c>
      <c r="B830" s="184" t="s">
        <v>2906</v>
      </c>
      <c r="C830" s="184" t="s">
        <v>723</v>
      </c>
      <c r="D830" s="185" t="s">
        <v>2692</v>
      </c>
      <c r="E830" s="184" t="s">
        <v>2907</v>
      </c>
      <c r="F830" s="184" t="s">
        <v>2907</v>
      </c>
      <c r="G830" s="186">
        <f>IF(ALECA_Input!$F$13="ICAO (3000ft)",'Aircraft Calc'!C$216,'Aircraft Calc'!G$216)</f>
        <v>0.5</v>
      </c>
      <c r="H830" s="186">
        <f>IF(ALECA_Input!$F$13="ICAO (3000ft)",'Aircraft Calc'!D$216,'Aircraft Calc'!H$216)</f>
        <v>2.5</v>
      </c>
      <c r="I830" s="186">
        <f>IF(ALECA_Input!$F$13="ICAO (3000ft)",'Aircraft Calc'!E$216,'Aircraft Calc'!I$216)</f>
        <v>4.5</v>
      </c>
      <c r="J830" s="189">
        <v>1</v>
      </c>
      <c r="K830" s="187">
        <f t="shared" si="217"/>
        <v>42.201000000000001</v>
      </c>
      <c r="L830" s="187">
        <f t="shared" si="218"/>
        <v>0.53615160000000006</v>
      </c>
      <c r="M830" s="187">
        <f t="shared" si="219"/>
        <v>0</v>
      </c>
      <c r="N830" s="187">
        <f t="shared" si="220"/>
        <v>0.1191159</v>
      </c>
      <c r="O830" s="187">
        <f t="shared" si="221"/>
        <v>1.8771770159999999E-2</v>
      </c>
      <c r="P830" s="188">
        <f t="shared" si="222"/>
        <v>4.4899931636243674E+17</v>
      </c>
      <c r="Q830" s="187">
        <f t="shared" si="223"/>
        <v>1960.033090099686</v>
      </c>
      <c r="R830" s="219">
        <f t="shared" si="224"/>
        <v>9.4952571428571737</v>
      </c>
      <c r="S830" s="219">
        <f t="shared" si="225"/>
        <v>0</v>
      </c>
      <c r="T830" s="219">
        <f t="shared" si="226"/>
        <v>40.352876848483113</v>
      </c>
      <c r="U830" s="219">
        <f t="shared" si="227"/>
        <v>0.47816967266071941</v>
      </c>
      <c r="V830" s="188">
        <f t="shared" si="228"/>
        <v>2.1659416321363848E+16</v>
      </c>
      <c r="W830" s="323">
        <v>0.13830000000000001</v>
      </c>
      <c r="X830" s="323">
        <v>0.1239</v>
      </c>
      <c r="Y830" s="323">
        <v>7.2099999999999997E-2</v>
      </c>
      <c r="Z830" s="323">
        <v>3.2667218168328099E-2</v>
      </c>
      <c r="AA830" s="323">
        <v>16.5</v>
      </c>
      <c r="AB830" s="323">
        <v>14.9</v>
      </c>
      <c r="AC830" s="323">
        <v>9.8000000000000007</v>
      </c>
      <c r="AD830" s="323">
        <v>4.8444371632390402</v>
      </c>
      <c r="AE830" s="323">
        <v>0</v>
      </c>
      <c r="AF830" s="323">
        <v>0</v>
      </c>
      <c r="AG830" s="323">
        <v>0</v>
      </c>
      <c r="AH830" s="323">
        <v>0</v>
      </c>
      <c r="AI830" s="323">
        <v>1.9000000000000001</v>
      </c>
      <c r="AJ830" s="323">
        <v>1.9000000000000001</v>
      </c>
      <c r="AK830" s="323">
        <v>3.9</v>
      </c>
      <c r="AL830" s="323">
        <v>20.587854895057301</v>
      </c>
      <c r="AM830" s="323">
        <v>0.43120000000000003</v>
      </c>
      <c r="AN830" s="323">
        <v>0.4536</v>
      </c>
      <c r="AO830" s="323">
        <v>0.3332</v>
      </c>
      <c r="AP830" s="323">
        <v>0.19500000000000001</v>
      </c>
      <c r="AQ830" s="323">
        <v>0.48015999999999998</v>
      </c>
      <c r="AR830" s="323">
        <v>0.50256000000000001</v>
      </c>
      <c r="AS830" s="323">
        <v>0.38216</v>
      </c>
      <c r="AT830" s="323">
        <v>0.24396000000000001</v>
      </c>
      <c r="AU830" s="190">
        <v>2836389724401882</v>
      </c>
      <c r="AV830" s="190">
        <v>3747666851552444</v>
      </c>
      <c r="AW830" s="190">
        <v>1.8882249291610988E+16</v>
      </c>
      <c r="AX830" s="190">
        <v>1.1050536050012432E+16</v>
      </c>
      <c r="AY830" s="203">
        <v>0.8</v>
      </c>
      <c r="BB830" s="204">
        <v>37446</v>
      </c>
      <c r="BC830" s="203" t="s">
        <v>3227</v>
      </c>
    </row>
    <row r="831" spans="1:55" x14ac:dyDescent="0.2">
      <c r="A831" s="184" t="s">
        <v>2909</v>
      </c>
      <c r="B831" s="184" t="s">
        <v>2908</v>
      </c>
      <c r="C831" s="184" t="s">
        <v>723</v>
      </c>
      <c r="D831" s="185" t="s">
        <v>2692</v>
      </c>
      <c r="E831" s="184" t="s">
        <v>2909</v>
      </c>
      <c r="F831" s="184" t="s">
        <v>2909</v>
      </c>
      <c r="G831" s="186">
        <f>IF(ALECA_Input!$F$13="ICAO (3000ft)",'Aircraft Calc'!C$216,'Aircraft Calc'!G$216)</f>
        <v>0.5</v>
      </c>
      <c r="H831" s="186">
        <f>IF(ALECA_Input!$F$13="ICAO (3000ft)",'Aircraft Calc'!D$216,'Aircraft Calc'!H$216)</f>
        <v>2.5</v>
      </c>
      <c r="I831" s="186">
        <f>IF(ALECA_Input!$F$13="ICAO (3000ft)",'Aircraft Calc'!E$216,'Aircraft Calc'!I$216)</f>
        <v>4.5</v>
      </c>
      <c r="J831" s="189">
        <v>1</v>
      </c>
      <c r="K831" s="187">
        <f t="shared" si="217"/>
        <v>44.475000000000009</v>
      </c>
      <c r="L831" s="187">
        <f t="shared" si="218"/>
        <v>0.59835329999999998</v>
      </c>
      <c r="M831" s="187">
        <f t="shared" si="219"/>
        <v>0</v>
      </c>
      <c r="N831" s="187">
        <f t="shared" si="220"/>
        <v>0.11874390000000001</v>
      </c>
      <c r="O831" s="187">
        <f t="shared" si="221"/>
        <v>2.0427804600000002E-2</v>
      </c>
      <c r="P831" s="188">
        <f t="shared" si="222"/>
        <v>4.8876366643394752E+17</v>
      </c>
      <c r="Q831" s="187">
        <f t="shared" si="223"/>
        <v>1999.312310342166</v>
      </c>
      <c r="R831" s="219">
        <f t="shared" si="224"/>
        <v>9.816428571428613</v>
      </c>
      <c r="S831" s="219">
        <f t="shared" si="225"/>
        <v>0</v>
      </c>
      <c r="T831" s="219">
        <f t="shared" si="226"/>
        <v>39.503591778711488</v>
      </c>
      <c r="U831" s="219">
        <f t="shared" si="227"/>
        <v>0.4967491366276145</v>
      </c>
      <c r="V831" s="188">
        <f t="shared" si="228"/>
        <v>2.260332213206982E+16</v>
      </c>
      <c r="W831" s="323">
        <v>0.14860000000000001</v>
      </c>
      <c r="X831" s="323">
        <v>0.13250000000000001</v>
      </c>
      <c r="Y831" s="323">
        <v>7.46E-2</v>
      </c>
      <c r="Z831" s="323">
        <v>3.33218718390361E-2</v>
      </c>
      <c r="AA831" s="323">
        <v>17.7</v>
      </c>
      <c r="AB831" s="323">
        <v>15.9</v>
      </c>
      <c r="AC831" s="323">
        <v>10.1</v>
      </c>
      <c r="AD831" s="323">
        <v>4.9099025303098403</v>
      </c>
      <c r="AE831" s="323">
        <v>0</v>
      </c>
      <c r="AF831" s="323">
        <v>0</v>
      </c>
      <c r="AG831" s="323">
        <v>0</v>
      </c>
      <c r="AH831" s="323">
        <v>0</v>
      </c>
      <c r="AI831" s="323">
        <v>1.9000000000000001</v>
      </c>
      <c r="AJ831" s="323">
        <v>1.9000000000000001</v>
      </c>
      <c r="AK831" s="323">
        <v>3.6</v>
      </c>
      <c r="AL831" s="323">
        <v>19.758589778277699</v>
      </c>
      <c r="AM831" s="323">
        <v>0.43669999999999998</v>
      </c>
      <c r="AN831" s="323">
        <v>0.46560000000000001</v>
      </c>
      <c r="AO831" s="323">
        <v>0.35</v>
      </c>
      <c r="AP831" s="323">
        <v>0.19950000000000001</v>
      </c>
      <c r="AQ831" s="323">
        <v>0.48565999999999998</v>
      </c>
      <c r="AR831" s="323">
        <v>0.51456000000000002</v>
      </c>
      <c r="AS831" s="323">
        <v>0.39895999999999998</v>
      </c>
      <c r="AT831" s="323">
        <v>0.24845999999999999</v>
      </c>
      <c r="AU831" s="190">
        <v>2872568164764151</v>
      </c>
      <c r="AV831" s="190">
        <v>3846811477254889.5</v>
      </c>
      <c r="AW831" s="190">
        <v>1.9834295474381292E+16</v>
      </c>
      <c r="AX831" s="190">
        <v>1.1305548420397334E+16</v>
      </c>
      <c r="AY831" s="203">
        <v>0.8</v>
      </c>
      <c r="BB831" s="204">
        <v>37446</v>
      </c>
      <c r="BC831" s="203" t="s">
        <v>3227</v>
      </c>
    </row>
    <row r="832" spans="1:55" x14ac:dyDescent="0.2">
      <c r="A832" s="184" t="s">
        <v>2911</v>
      </c>
      <c r="B832" s="184" t="s">
        <v>2910</v>
      </c>
      <c r="C832" s="184" t="s">
        <v>723</v>
      </c>
      <c r="D832" s="185" t="s">
        <v>2692</v>
      </c>
      <c r="E832" s="184" t="s">
        <v>2911</v>
      </c>
      <c r="F832" s="184" t="s">
        <v>2911</v>
      </c>
      <c r="G832" s="186">
        <f>IF(ALECA_Input!$F$13="ICAO (3000ft)",'Aircraft Calc'!C$216,'Aircraft Calc'!G$216)</f>
        <v>0.5</v>
      </c>
      <c r="H832" s="186">
        <f>IF(ALECA_Input!$F$13="ICAO (3000ft)",'Aircraft Calc'!D$216,'Aircraft Calc'!H$216)</f>
        <v>2.5</v>
      </c>
      <c r="I832" s="186">
        <f>IF(ALECA_Input!$F$13="ICAO (3000ft)",'Aircraft Calc'!E$216,'Aircraft Calc'!I$216)</f>
        <v>4.5</v>
      </c>
      <c r="J832" s="189">
        <v>1</v>
      </c>
      <c r="K832" s="187">
        <f t="shared" si="217"/>
        <v>46.833480545676309</v>
      </c>
      <c r="L832" s="187">
        <f t="shared" si="218"/>
        <v>0.65779950371003582</v>
      </c>
      <c r="M832" s="187">
        <f t="shared" si="219"/>
        <v>0</v>
      </c>
      <c r="N832" s="187">
        <f t="shared" si="220"/>
        <v>0.12655228658801254</v>
      </c>
      <c r="O832" s="187">
        <f t="shared" si="221"/>
        <v>2.2153012886166879E-2</v>
      </c>
      <c r="P832" s="188">
        <f t="shared" si="222"/>
        <v>5.3056817160284435E+17</v>
      </c>
      <c r="Q832" s="187">
        <f t="shared" si="223"/>
        <v>1881.474649614732</v>
      </c>
      <c r="R832" s="219">
        <f t="shared" si="224"/>
        <v>8.7451714285714779</v>
      </c>
      <c r="S832" s="219">
        <f t="shared" si="225"/>
        <v>0</v>
      </c>
      <c r="T832" s="219">
        <f t="shared" si="226"/>
        <v>36.749357256504283</v>
      </c>
      <c r="U832" s="219">
        <f t="shared" si="227"/>
        <v>0.47593782736654267</v>
      </c>
      <c r="V832" s="188">
        <f t="shared" si="228"/>
        <v>2.1750902063186816E+16</v>
      </c>
      <c r="W832" s="323">
        <v>0.16070000000000001</v>
      </c>
      <c r="X832" s="323">
        <v>0.142203203637842</v>
      </c>
      <c r="Y832" s="323">
        <v>7.6600000000000001E-2</v>
      </c>
      <c r="Z832" s="323">
        <v>3.1357910826912201E-2</v>
      </c>
      <c r="AA832" s="323">
        <v>18.900000000000002</v>
      </c>
      <c r="AB832" s="323">
        <v>16.870815588961499</v>
      </c>
      <c r="AC832" s="323">
        <v>10</v>
      </c>
      <c r="AD832" s="323">
        <v>4.6480410620266497</v>
      </c>
      <c r="AE832" s="323">
        <v>0</v>
      </c>
      <c r="AF832" s="323">
        <v>0</v>
      </c>
      <c r="AG832" s="323">
        <v>0</v>
      </c>
      <c r="AH832" s="323">
        <v>0</v>
      </c>
      <c r="AI832" s="323">
        <v>2.2000000000000002</v>
      </c>
      <c r="AJ832" s="323">
        <v>2.04210526315789</v>
      </c>
      <c r="AK832" s="323">
        <v>3.5</v>
      </c>
      <c r="AL832" s="323">
        <v>19.532209622930299</v>
      </c>
      <c r="AM832" s="323">
        <v>0.43669999999999998</v>
      </c>
      <c r="AN832" s="323">
        <v>0.47399999999999998</v>
      </c>
      <c r="AO832" s="323">
        <v>0.36959999999999998</v>
      </c>
      <c r="AP832" s="323">
        <v>0.20399999999999999</v>
      </c>
      <c r="AQ832" s="323">
        <v>0.48565999999999998</v>
      </c>
      <c r="AR832" s="323">
        <v>0.52295999999999998</v>
      </c>
      <c r="AS832" s="323">
        <v>0.41855999999999999</v>
      </c>
      <c r="AT832" s="323">
        <v>0.25296000000000002</v>
      </c>
      <c r="AU832" s="190">
        <v>2872568164764151</v>
      </c>
      <c r="AV832" s="190">
        <v>3916212715246601.5</v>
      </c>
      <c r="AW832" s="190">
        <v>2.0945016020946644E+16</v>
      </c>
      <c r="AX832" s="190">
        <v>1.1560560790782236E+16</v>
      </c>
      <c r="AY832" s="203">
        <v>0.9</v>
      </c>
      <c r="BB832" s="204">
        <v>37446</v>
      </c>
      <c r="BC832" s="203" t="s">
        <v>3227</v>
      </c>
    </row>
    <row r="833" spans="1:55" x14ac:dyDescent="0.2">
      <c r="A833" s="184" t="s">
        <v>2913</v>
      </c>
      <c r="B833" s="184" t="s">
        <v>2912</v>
      </c>
      <c r="C833" s="184" t="s">
        <v>723</v>
      </c>
      <c r="D833" s="185" t="s">
        <v>2692</v>
      </c>
      <c r="E833" s="184" t="s">
        <v>2913</v>
      </c>
      <c r="F833" s="184" t="s">
        <v>2913</v>
      </c>
      <c r="G833" s="186">
        <f>IF(ALECA_Input!$F$13="ICAO (3000ft)",'Aircraft Calc'!C$216,'Aircraft Calc'!G$216)</f>
        <v>0.5</v>
      </c>
      <c r="H833" s="186">
        <f>IF(ALECA_Input!$F$13="ICAO (3000ft)",'Aircraft Calc'!D$216,'Aircraft Calc'!H$216)</f>
        <v>2.5</v>
      </c>
      <c r="I833" s="186">
        <f>IF(ALECA_Input!$F$13="ICAO (3000ft)",'Aircraft Calc'!E$216,'Aircraft Calc'!I$216)</f>
        <v>4.5</v>
      </c>
      <c r="J833" s="189">
        <v>1</v>
      </c>
      <c r="K833" s="187">
        <f t="shared" si="217"/>
        <v>49.188000000000002</v>
      </c>
      <c r="L833" s="187">
        <f t="shared" si="218"/>
        <v>0.69870059999999989</v>
      </c>
      <c r="M833" s="187">
        <f t="shared" si="219"/>
        <v>0</v>
      </c>
      <c r="N833" s="187">
        <f t="shared" si="220"/>
        <v>0.12708539999999999</v>
      </c>
      <c r="O833" s="187">
        <f t="shared" si="221"/>
        <v>2.323137648E-2</v>
      </c>
      <c r="P833" s="188">
        <f t="shared" si="222"/>
        <v>5.6351894725123251E+17</v>
      </c>
      <c r="Q833" s="187">
        <f t="shared" si="223"/>
        <v>2062.1590627301339</v>
      </c>
      <c r="R833" s="219">
        <f t="shared" si="224"/>
        <v>10.125000000000053</v>
      </c>
      <c r="S833" s="219">
        <f t="shared" si="225"/>
        <v>0</v>
      </c>
      <c r="T833" s="219">
        <f t="shared" si="226"/>
        <v>40.399735839943666</v>
      </c>
      <c r="U833" s="219">
        <f t="shared" si="227"/>
        <v>0.52164375650821471</v>
      </c>
      <c r="V833" s="188">
        <f t="shared" si="228"/>
        <v>2.3839715204954232E+16</v>
      </c>
      <c r="W833" s="323">
        <v>0.16639999999999999</v>
      </c>
      <c r="X833" s="323">
        <v>0.1474</v>
      </c>
      <c r="Y833" s="323">
        <v>8.1799999999999998E-2</v>
      </c>
      <c r="Z833" s="323">
        <v>3.4369317712168897E-2</v>
      </c>
      <c r="AA833" s="323">
        <v>19.100000000000001</v>
      </c>
      <c r="AB833" s="323">
        <v>16.899999999999999</v>
      </c>
      <c r="AC833" s="323">
        <v>10.4</v>
      </c>
      <c r="AD833" s="323">
        <v>4.9099025303098403</v>
      </c>
      <c r="AE833" s="323">
        <v>0</v>
      </c>
      <c r="AF833" s="323">
        <v>0</v>
      </c>
      <c r="AG833" s="323">
        <v>0</v>
      </c>
      <c r="AH833" s="323">
        <v>0</v>
      </c>
      <c r="AI833" s="323">
        <v>2</v>
      </c>
      <c r="AJ833" s="323">
        <v>1.9000000000000001</v>
      </c>
      <c r="AK833" s="323">
        <v>3.4</v>
      </c>
      <c r="AL833" s="323">
        <v>19.590989157964199</v>
      </c>
      <c r="AM833" s="323">
        <v>0.43669999999999998</v>
      </c>
      <c r="AN833" s="323">
        <v>0.47399999999999998</v>
      </c>
      <c r="AO833" s="323">
        <v>0.36959999999999998</v>
      </c>
      <c r="AP833" s="323">
        <v>0.20399999999999999</v>
      </c>
      <c r="AQ833" s="323">
        <v>0.48565999999999998</v>
      </c>
      <c r="AR833" s="323">
        <v>0.52295999999999998</v>
      </c>
      <c r="AS833" s="323">
        <v>0.41855999999999999</v>
      </c>
      <c r="AT833" s="323">
        <v>0.25296000000000002</v>
      </c>
      <c r="AU833" s="190">
        <v>2872568164764151</v>
      </c>
      <c r="AV833" s="190">
        <v>3916212715246601.5</v>
      </c>
      <c r="AW833" s="190">
        <v>2.0945016020946644E+16</v>
      </c>
      <c r="AX833" s="190">
        <v>1.1560560790782236E+16</v>
      </c>
      <c r="AY833" s="203">
        <v>0.9</v>
      </c>
      <c r="BB833" s="204">
        <v>37446</v>
      </c>
      <c r="BC833" s="203" t="s">
        <v>3227</v>
      </c>
    </row>
    <row r="834" spans="1:55" x14ac:dyDescent="0.2">
      <c r="A834" s="184" t="s">
        <v>2915</v>
      </c>
      <c r="B834" s="184" t="s">
        <v>2914</v>
      </c>
      <c r="C834" s="184" t="s">
        <v>723</v>
      </c>
      <c r="D834" s="185" t="s">
        <v>2692</v>
      </c>
      <c r="E834" s="184" t="s">
        <v>2915</v>
      </c>
      <c r="F834" s="184" t="s">
        <v>2915</v>
      </c>
      <c r="G834" s="186">
        <f>IF(ALECA_Input!$F$13="ICAO (3000ft)",'Aircraft Calc'!C$216,'Aircraft Calc'!G$216)</f>
        <v>0.5</v>
      </c>
      <c r="H834" s="186">
        <f>IF(ALECA_Input!$F$13="ICAO (3000ft)",'Aircraft Calc'!D$216,'Aircraft Calc'!H$216)</f>
        <v>2.5</v>
      </c>
      <c r="I834" s="186">
        <f>IF(ALECA_Input!$F$13="ICAO (3000ft)",'Aircraft Calc'!E$216,'Aircraft Calc'!I$216)</f>
        <v>4.5</v>
      </c>
      <c r="J834" s="189">
        <v>1</v>
      </c>
      <c r="K834" s="187">
        <f t="shared" si="217"/>
        <v>49.188000000000002</v>
      </c>
      <c r="L834" s="187">
        <f t="shared" si="218"/>
        <v>0.69870059999999989</v>
      </c>
      <c r="M834" s="187">
        <f t="shared" si="219"/>
        <v>0</v>
      </c>
      <c r="N834" s="187">
        <f t="shared" si="220"/>
        <v>0.12708539999999999</v>
      </c>
      <c r="O834" s="187">
        <f t="shared" si="221"/>
        <v>2.323137648E-2</v>
      </c>
      <c r="P834" s="188">
        <f t="shared" si="222"/>
        <v>5.6351894725123251E+17</v>
      </c>
      <c r="Q834" s="187">
        <f t="shared" si="223"/>
        <v>2062.1590627301339</v>
      </c>
      <c r="R834" s="219">
        <f t="shared" si="224"/>
        <v>10.125000000000053</v>
      </c>
      <c r="S834" s="219">
        <f t="shared" si="225"/>
        <v>0</v>
      </c>
      <c r="T834" s="219">
        <f t="shared" si="226"/>
        <v>40.399735839943666</v>
      </c>
      <c r="U834" s="219">
        <f t="shared" si="227"/>
        <v>0.52164375650821471</v>
      </c>
      <c r="V834" s="188">
        <f t="shared" si="228"/>
        <v>2.3839715204954232E+16</v>
      </c>
      <c r="W834" s="323">
        <v>0.16639999999999999</v>
      </c>
      <c r="X834" s="323">
        <v>0.1474</v>
      </c>
      <c r="Y834" s="323">
        <v>8.1799999999999998E-2</v>
      </c>
      <c r="Z834" s="323">
        <v>3.4369317712168897E-2</v>
      </c>
      <c r="AA834" s="323">
        <v>19.100000000000001</v>
      </c>
      <c r="AB834" s="323">
        <v>16.899999999999999</v>
      </c>
      <c r="AC834" s="323">
        <v>10.4</v>
      </c>
      <c r="AD834" s="323">
        <v>4.9099025303098403</v>
      </c>
      <c r="AE834" s="323">
        <v>0</v>
      </c>
      <c r="AF834" s="323">
        <v>0</v>
      </c>
      <c r="AG834" s="323">
        <v>0</v>
      </c>
      <c r="AH834" s="323">
        <v>0</v>
      </c>
      <c r="AI834" s="323">
        <v>2</v>
      </c>
      <c r="AJ834" s="323">
        <v>1.9000000000000001</v>
      </c>
      <c r="AK834" s="323">
        <v>3.4</v>
      </c>
      <c r="AL834" s="323">
        <v>19.590989157964199</v>
      </c>
      <c r="AM834" s="323">
        <v>0.43669999999999998</v>
      </c>
      <c r="AN834" s="323">
        <v>0.47399999999999998</v>
      </c>
      <c r="AO834" s="323">
        <v>0.36959999999999998</v>
      </c>
      <c r="AP834" s="323">
        <v>0.20399999999999999</v>
      </c>
      <c r="AQ834" s="323">
        <v>0.48565999999999998</v>
      </c>
      <c r="AR834" s="323">
        <v>0.52295999999999998</v>
      </c>
      <c r="AS834" s="323">
        <v>0.41855999999999999</v>
      </c>
      <c r="AT834" s="323">
        <v>0.25296000000000002</v>
      </c>
      <c r="AU834" s="190">
        <v>2872568164764151</v>
      </c>
      <c r="AV834" s="190">
        <v>3916212715246601.5</v>
      </c>
      <c r="AW834" s="190">
        <v>2.0945016020946644E+16</v>
      </c>
      <c r="AX834" s="190">
        <v>1.1560560790782236E+16</v>
      </c>
      <c r="AY834" s="203">
        <v>0.9</v>
      </c>
      <c r="BB834" s="204">
        <v>37446</v>
      </c>
      <c r="BC834" s="203" t="s">
        <v>3227</v>
      </c>
    </row>
    <row r="835" spans="1:55" x14ac:dyDescent="0.2">
      <c r="A835" s="184" t="s">
        <v>2917</v>
      </c>
      <c r="B835" s="184" t="s">
        <v>2916</v>
      </c>
      <c r="C835" s="184" t="s">
        <v>723</v>
      </c>
      <c r="D835" s="185" t="s">
        <v>2692</v>
      </c>
      <c r="E835" s="184" t="s">
        <v>2917</v>
      </c>
      <c r="F835" s="184" t="s">
        <v>2917</v>
      </c>
      <c r="G835" s="186">
        <f>IF(ALECA_Input!$F$13="ICAO (3000ft)",'Aircraft Calc'!C$216,'Aircraft Calc'!G$216)</f>
        <v>0.5</v>
      </c>
      <c r="H835" s="186">
        <f>IF(ALECA_Input!$F$13="ICAO (3000ft)",'Aircraft Calc'!D$216,'Aircraft Calc'!H$216)</f>
        <v>2.5</v>
      </c>
      <c r="I835" s="186">
        <f>IF(ALECA_Input!$F$13="ICAO (3000ft)",'Aircraft Calc'!E$216,'Aircraft Calc'!I$216)</f>
        <v>4.5</v>
      </c>
      <c r="J835" s="189">
        <v>1</v>
      </c>
      <c r="K835" s="187">
        <f t="shared" si="217"/>
        <v>49.188000000000002</v>
      </c>
      <c r="L835" s="187">
        <f t="shared" si="218"/>
        <v>0.69870059999999989</v>
      </c>
      <c r="M835" s="187">
        <f t="shared" si="219"/>
        <v>0</v>
      </c>
      <c r="N835" s="187">
        <f t="shared" si="220"/>
        <v>0.12708539999999999</v>
      </c>
      <c r="O835" s="187">
        <f t="shared" si="221"/>
        <v>2.323137648E-2</v>
      </c>
      <c r="P835" s="188">
        <f t="shared" si="222"/>
        <v>5.6351894725123251E+17</v>
      </c>
      <c r="Q835" s="187">
        <f t="shared" si="223"/>
        <v>2062.1590627301339</v>
      </c>
      <c r="R835" s="219">
        <f t="shared" si="224"/>
        <v>10.125000000000053</v>
      </c>
      <c r="S835" s="219">
        <f t="shared" si="225"/>
        <v>0</v>
      </c>
      <c r="T835" s="219">
        <f t="shared" si="226"/>
        <v>40.399735839943666</v>
      </c>
      <c r="U835" s="219">
        <f t="shared" si="227"/>
        <v>0.52164375650821471</v>
      </c>
      <c r="V835" s="188">
        <f t="shared" si="228"/>
        <v>2.3839715204954232E+16</v>
      </c>
      <c r="W835" s="323">
        <v>0.16639999999999999</v>
      </c>
      <c r="X835" s="323">
        <v>0.1474</v>
      </c>
      <c r="Y835" s="323">
        <v>8.1799999999999998E-2</v>
      </c>
      <c r="Z835" s="323">
        <v>3.4369317712168897E-2</v>
      </c>
      <c r="AA835" s="323">
        <v>19.100000000000001</v>
      </c>
      <c r="AB835" s="323">
        <v>16.899999999999999</v>
      </c>
      <c r="AC835" s="323">
        <v>10.4</v>
      </c>
      <c r="AD835" s="323">
        <v>4.9099025303098403</v>
      </c>
      <c r="AE835" s="323">
        <v>0</v>
      </c>
      <c r="AF835" s="323">
        <v>0</v>
      </c>
      <c r="AG835" s="323">
        <v>0</v>
      </c>
      <c r="AH835" s="323">
        <v>0</v>
      </c>
      <c r="AI835" s="323">
        <v>2</v>
      </c>
      <c r="AJ835" s="323">
        <v>1.9000000000000001</v>
      </c>
      <c r="AK835" s="323">
        <v>3.4</v>
      </c>
      <c r="AL835" s="323">
        <v>19.590989157964199</v>
      </c>
      <c r="AM835" s="323">
        <v>0.43669999999999998</v>
      </c>
      <c r="AN835" s="323">
        <v>0.47399999999999998</v>
      </c>
      <c r="AO835" s="323">
        <v>0.36959999999999998</v>
      </c>
      <c r="AP835" s="323">
        <v>0.20399999999999999</v>
      </c>
      <c r="AQ835" s="323">
        <v>0.48565999999999998</v>
      </c>
      <c r="AR835" s="323">
        <v>0.52295999999999998</v>
      </c>
      <c r="AS835" s="323">
        <v>0.41855999999999999</v>
      </c>
      <c r="AT835" s="323">
        <v>0.25296000000000002</v>
      </c>
      <c r="AU835" s="190">
        <v>2872568164764151</v>
      </c>
      <c r="AV835" s="190">
        <v>3916212715246601.5</v>
      </c>
      <c r="AW835" s="190">
        <v>2.0945016020946644E+16</v>
      </c>
      <c r="AX835" s="190">
        <v>1.1560560790782236E+16</v>
      </c>
      <c r="AY835" s="203">
        <v>0.9</v>
      </c>
      <c r="BB835" s="204">
        <v>37446</v>
      </c>
      <c r="BC835" s="203" t="s">
        <v>3227</v>
      </c>
    </row>
    <row r="836" spans="1:55" x14ac:dyDescent="0.2">
      <c r="A836" s="184" t="s">
        <v>2919</v>
      </c>
      <c r="B836" s="184" t="s">
        <v>2918</v>
      </c>
      <c r="C836" s="184" t="s">
        <v>723</v>
      </c>
      <c r="D836" s="185" t="s">
        <v>2692</v>
      </c>
      <c r="E836" s="184" t="s">
        <v>2919</v>
      </c>
      <c r="F836" s="184" t="s">
        <v>2919</v>
      </c>
      <c r="G836" s="186">
        <f>IF(ALECA_Input!$F$13="ICAO (3000ft)",'Aircraft Calc'!C$216,'Aircraft Calc'!G$216)</f>
        <v>0.5</v>
      </c>
      <c r="H836" s="186">
        <f>IF(ALECA_Input!$F$13="ICAO (3000ft)",'Aircraft Calc'!D$216,'Aircraft Calc'!H$216)</f>
        <v>2.5</v>
      </c>
      <c r="I836" s="186">
        <f>IF(ALECA_Input!$F$13="ICAO (3000ft)",'Aircraft Calc'!E$216,'Aircraft Calc'!I$216)</f>
        <v>4.5</v>
      </c>
      <c r="J836" s="189">
        <v>1</v>
      </c>
      <c r="K836" s="187">
        <f t="shared" si="217"/>
        <v>49.188000000000002</v>
      </c>
      <c r="L836" s="187">
        <f t="shared" si="218"/>
        <v>0.69870059999999989</v>
      </c>
      <c r="M836" s="187">
        <f t="shared" si="219"/>
        <v>0</v>
      </c>
      <c r="N836" s="187">
        <f t="shared" si="220"/>
        <v>0.12708539999999999</v>
      </c>
      <c r="O836" s="187">
        <f t="shared" si="221"/>
        <v>2.323137648E-2</v>
      </c>
      <c r="P836" s="188">
        <f t="shared" si="222"/>
        <v>5.6351894725123251E+17</v>
      </c>
      <c r="Q836" s="187">
        <f t="shared" si="223"/>
        <v>2062.1590627301339</v>
      </c>
      <c r="R836" s="219">
        <f t="shared" si="224"/>
        <v>10.125000000000053</v>
      </c>
      <c r="S836" s="219">
        <f t="shared" si="225"/>
        <v>0</v>
      </c>
      <c r="T836" s="219">
        <f t="shared" si="226"/>
        <v>40.969761365268006</v>
      </c>
      <c r="U836" s="219">
        <f t="shared" si="227"/>
        <v>0.52164375650821471</v>
      </c>
      <c r="V836" s="188">
        <f t="shared" si="228"/>
        <v>2.3839715204954232E+16</v>
      </c>
      <c r="W836" s="323">
        <v>0.16639999999999999</v>
      </c>
      <c r="X836" s="323">
        <v>0.1474</v>
      </c>
      <c r="Y836" s="323">
        <v>8.1799999999999998E-2</v>
      </c>
      <c r="Z836" s="323">
        <v>3.4369317712168897E-2</v>
      </c>
      <c r="AA836" s="323">
        <v>19.100000000000001</v>
      </c>
      <c r="AB836" s="323">
        <v>16.899999999999999</v>
      </c>
      <c r="AC836" s="323">
        <v>10.4</v>
      </c>
      <c r="AD836" s="323">
        <v>4.9099025303098403</v>
      </c>
      <c r="AE836" s="323">
        <v>0</v>
      </c>
      <c r="AF836" s="323">
        <v>0</v>
      </c>
      <c r="AG836" s="323">
        <v>0</v>
      </c>
      <c r="AH836" s="323">
        <v>0</v>
      </c>
      <c r="AI836" s="323">
        <v>2</v>
      </c>
      <c r="AJ836" s="323">
        <v>1.9000000000000001</v>
      </c>
      <c r="AK836" s="323">
        <v>3.4</v>
      </c>
      <c r="AL836" s="323">
        <v>19.867410863557399</v>
      </c>
      <c r="AM836" s="323">
        <v>0.43669999999999998</v>
      </c>
      <c r="AN836" s="323">
        <v>0.47399999999999998</v>
      </c>
      <c r="AO836" s="323">
        <v>0.36959999999999998</v>
      </c>
      <c r="AP836" s="323">
        <v>0.20399999999999999</v>
      </c>
      <c r="AQ836" s="323">
        <v>0.48565999999999998</v>
      </c>
      <c r="AR836" s="323">
        <v>0.52295999999999998</v>
      </c>
      <c r="AS836" s="323">
        <v>0.41855999999999999</v>
      </c>
      <c r="AT836" s="323">
        <v>0.25296000000000002</v>
      </c>
      <c r="AU836" s="190">
        <v>2872568164764151</v>
      </c>
      <c r="AV836" s="190">
        <v>3916212715246601.5</v>
      </c>
      <c r="AW836" s="190">
        <v>2.0945016020946644E+16</v>
      </c>
      <c r="AX836" s="190">
        <v>1.1560560790782236E+16</v>
      </c>
      <c r="AY836" s="203">
        <v>0.9</v>
      </c>
      <c r="BB836" s="204">
        <v>37446</v>
      </c>
      <c r="BC836" s="203" t="s">
        <v>3227</v>
      </c>
    </row>
    <row r="837" spans="1:55" x14ac:dyDescent="0.2">
      <c r="A837" s="184" t="s">
        <v>217</v>
      </c>
      <c r="B837" s="184" t="s">
        <v>2920</v>
      </c>
      <c r="C837" s="184" t="s">
        <v>723</v>
      </c>
      <c r="D837" s="185" t="s">
        <v>2692</v>
      </c>
      <c r="E837" s="184" t="s">
        <v>217</v>
      </c>
      <c r="F837" s="184" t="s">
        <v>217</v>
      </c>
      <c r="G837" s="186">
        <f>IF(ALECA_Input!$F$13="ICAO (3000ft)",'Aircraft Calc'!C$216,'Aircraft Calc'!G$216)</f>
        <v>0.5</v>
      </c>
      <c r="H837" s="186">
        <f>IF(ALECA_Input!$F$13="ICAO (3000ft)",'Aircraft Calc'!D$216,'Aircraft Calc'!H$216)</f>
        <v>2.5</v>
      </c>
      <c r="I837" s="186">
        <f>IF(ALECA_Input!$F$13="ICAO (3000ft)",'Aircraft Calc'!E$216,'Aircraft Calc'!I$216)</f>
        <v>4.5</v>
      </c>
      <c r="J837" s="189">
        <v>1</v>
      </c>
      <c r="K837" s="187">
        <f t="shared" si="217"/>
        <v>47.362488981454348</v>
      </c>
      <c r="L837" s="187">
        <f t="shared" si="218"/>
        <v>0.65176407419960303</v>
      </c>
      <c r="M837" s="187">
        <f t="shared" si="219"/>
        <v>0</v>
      </c>
      <c r="N837" s="187">
        <f t="shared" si="220"/>
        <v>0.1297975290647633</v>
      </c>
      <c r="O837" s="187">
        <f t="shared" si="221"/>
        <v>2.1818481030297151E-2</v>
      </c>
      <c r="P837" s="188">
        <f t="shared" si="222"/>
        <v>5.1277146781698854E+17</v>
      </c>
      <c r="Q837" s="187">
        <f t="shared" si="223"/>
        <v>1999.312310342166</v>
      </c>
      <c r="R837" s="219">
        <f t="shared" si="224"/>
        <v>9.5546571428571738</v>
      </c>
      <c r="S837" s="219">
        <f t="shared" si="225"/>
        <v>0</v>
      </c>
      <c r="T837" s="219">
        <f t="shared" si="226"/>
        <v>42.819511691740871</v>
      </c>
      <c r="U837" s="219">
        <f t="shared" si="227"/>
        <v>0.4967491366276145</v>
      </c>
      <c r="V837" s="188">
        <f t="shared" si="228"/>
        <v>2.260332213206982E+16</v>
      </c>
      <c r="W837" s="323">
        <v>0.15029999999999999</v>
      </c>
      <c r="X837" s="323">
        <v>0.14600992654302899</v>
      </c>
      <c r="Y837" s="323">
        <v>7.7600000000000002E-2</v>
      </c>
      <c r="Z837" s="323">
        <v>3.33218718390361E-2</v>
      </c>
      <c r="AA837" s="323">
        <v>17.2</v>
      </c>
      <c r="AB837" s="323">
        <v>16.747010877214201</v>
      </c>
      <c r="AC837" s="323">
        <v>9.9</v>
      </c>
      <c r="AD837" s="323">
        <v>4.7789717961682401</v>
      </c>
      <c r="AE837" s="323">
        <v>0</v>
      </c>
      <c r="AF837" s="323">
        <v>0</v>
      </c>
      <c r="AG837" s="323">
        <v>0</v>
      </c>
      <c r="AH837" s="323">
        <v>0</v>
      </c>
      <c r="AI837" s="323">
        <v>1.9000000000000001</v>
      </c>
      <c r="AJ837" s="323">
        <v>1.9000000000000001</v>
      </c>
      <c r="AK837" s="323">
        <v>3.8000000000000003</v>
      </c>
      <c r="AL837" s="323">
        <v>21.417120011836801</v>
      </c>
      <c r="AM837" s="323">
        <v>0.43669999999999998</v>
      </c>
      <c r="AN837" s="323">
        <v>0.46560000000000001</v>
      </c>
      <c r="AO837" s="323">
        <v>0.35</v>
      </c>
      <c r="AP837" s="323">
        <v>0.19950000000000001</v>
      </c>
      <c r="AQ837" s="323">
        <v>0.48565999999999998</v>
      </c>
      <c r="AR837" s="323">
        <v>0.51456000000000002</v>
      </c>
      <c r="AS837" s="323">
        <v>0.39895999999999998</v>
      </c>
      <c r="AT837" s="323">
        <v>0.24845999999999999</v>
      </c>
      <c r="AU837" s="190">
        <v>2872568164764151</v>
      </c>
      <c r="AV837" s="190">
        <v>3846811477254889.5</v>
      </c>
      <c r="AW837" s="190">
        <v>1.9834295474381292E+16</v>
      </c>
      <c r="AX837" s="190">
        <v>1.1305548420397334E+16</v>
      </c>
      <c r="AY837" s="203">
        <v>0.9</v>
      </c>
      <c r="BB837" s="204">
        <v>37446</v>
      </c>
      <c r="BC837" s="203" t="s">
        <v>3227</v>
      </c>
    </row>
    <row r="838" spans="1:55" x14ac:dyDescent="0.2">
      <c r="A838" s="184" t="s">
        <v>219</v>
      </c>
      <c r="B838" s="184" t="s">
        <v>2921</v>
      </c>
      <c r="C838" s="184" t="s">
        <v>723</v>
      </c>
      <c r="D838" s="185" t="s">
        <v>2692</v>
      </c>
      <c r="E838" s="184" t="s">
        <v>219</v>
      </c>
      <c r="F838" s="184" t="s">
        <v>219</v>
      </c>
      <c r="G838" s="186">
        <f>IF(ALECA_Input!$F$13="ICAO (3000ft)",'Aircraft Calc'!C$216,'Aircraft Calc'!G$216)</f>
        <v>0.5</v>
      </c>
      <c r="H838" s="186">
        <f>IF(ALECA_Input!$F$13="ICAO (3000ft)",'Aircraft Calc'!D$216,'Aircraft Calc'!H$216)</f>
        <v>2.5</v>
      </c>
      <c r="I838" s="186">
        <f>IF(ALECA_Input!$F$13="ICAO (3000ft)",'Aircraft Calc'!E$216,'Aircraft Calc'!I$216)</f>
        <v>4.5</v>
      </c>
      <c r="J838" s="189">
        <v>1</v>
      </c>
      <c r="K838" s="187">
        <f t="shared" si="217"/>
        <v>47.778000000000006</v>
      </c>
      <c r="L838" s="187">
        <f t="shared" si="218"/>
        <v>0.67487160000000002</v>
      </c>
      <c r="M838" s="187">
        <f t="shared" si="219"/>
        <v>0</v>
      </c>
      <c r="N838" s="187">
        <f t="shared" si="220"/>
        <v>0.1244064</v>
      </c>
      <c r="O838" s="187">
        <f t="shared" si="221"/>
        <v>2.2494002879999999E-2</v>
      </c>
      <c r="P838" s="188">
        <f t="shared" si="222"/>
        <v>5.5799708732273485E+17</v>
      </c>
      <c r="Q838" s="187">
        <f t="shared" si="223"/>
        <v>2062.1590627301339</v>
      </c>
      <c r="R838" s="219">
        <f t="shared" si="224"/>
        <v>10.125000000000053</v>
      </c>
      <c r="S838" s="219">
        <f t="shared" si="225"/>
        <v>5.5587083107081234</v>
      </c>
      <c r="T838" s="219">
        <f t="shared" si="226"/>
        <v>40.399735839943666</v>
      </c>
      <c r="U838" s="219">
        <f t="shared" si="227"/>
        <v>0.55594098678528381</v>
      </c>
      <c r="V838" s="188">
        <f t="shared" si="228"/>
        <v>2.3839715204954232E+16</v>
      </c>
      <c r="W838" s="323">
        <v>0.16639999999999999</v>
      </c>
      <c r="X838" s="323">
        <v>0.13800000000000001</v>
      </c>
      <c r="Y838" s="323">
        <v>8.1799999999999998E-2</v>
      </c>
      <c r="Z838" s="323">
        <v>3.4369317712168897E-2</v>
      </c>
      <c r="AA838" s="323">
        <v>19.100000000000001</v>
      </c>
      <c r="AB838" s="323">
        <v>16.899999999999999</v>
      </c>
      <c r="AC838" s="323">
        <v>10.4</v>
      </c>
      <c r="AD838" s="323">
        <v>4.9099025303098403</v>
      </c>
      <c r="AE838" s="323">
        <v>0</v>
      </c>
      <c r="AF838" s="323">
        <v>0</v>
      </c>
      <c r="AG838" s="323">
        <v>0</v>
      </c>
      <c r="AH838" s="323">
        <v>2.69557688888889</v>
      </c>
      <c r="AI838" s="323">
        <v>2</v>
      </c>
      <c r="AJ838" s="323">
        <v>1.9000000000000001</v>
      </c>
      <c r="AK838" s="323">
        <v>3.4</v>
      </c>
      <c r="AL838" s="323">
        <v>19.590989157964199</v>
      </c>
      <c r="AM838" s="323">
        <v>0.43669999999999998</v>
      </c>
      <c r="AN838" s="323">
        <v>0.47399999999999998</v>
      </c>
      <c r="AO838" s="323">
        <v>0.36959999999999998</v>
      </c>
      <c r="AP838" s="323">
        <v>0.20399999999999999</v>
      </c>
      <c r="AQ838" s="323">
        <v>0.48565999999999998</v>
      </c>
      <c r="AR838" s="323">
        <v>0.52295999999999998</v>
      </c>
      <c r="AS838" s="323">
        <v>0.41855999999999999</v>
      </c>
      <c r="AT838" s="323">
        <v>0.26959170940444449</v>
      </c>
      <c r="AU838" s="190">
        <v>2872568164764151</v>
      </c>
      <c r="AV838" s="190">
        <v>3916212715246601.5</v>
      </c>
      <c r="AW838" s="190">
        <v>2.0945016020946644E+16</v>
      </c>
      <c r="AX838" s="190">
        <v>1.1560560790782236E+16</v>
      </c>
      <c r="AY838" s="203">
        <v>0.9</v>
      </c>
      <c r="BB838" s="204">
        <v>37446</v>
      </c>
      <c r="BC838" s="203" t="s">
        <v>3227</v>
      </c>
    </row>
    <row r="839" spans="1:55" x14ac:dyDescent="0.2">
      <c r="A839" s="184" t="s">
        <v>2923</v>
      </c>
      <c r="B839" s="184" t="s">
        <v>2922</v>
      </c>
      <c r="C839" s="184" t="s">
        <v>723</v>
      </c>
      <c r="D839" s="185" t="s">
        <v>2692</v>
      </c>
      <c r="E839" s="184" t="s">
        <v>2923</v>
      </c>
      <c r="F839" s="184" t="s">
        <v>2923</v>
      </c>
      <c r="G839" s="186">
        <f>IF(ALECA_Input!$F$13="ICAO (3000ft)",'Aircraft Calc'!C$216,'Aircraft Calc'!G$216)</f>
        <v>0.5</v>
      </c>
      <c r="H839" s="186">
        <f>IF(ALECA_Input!$F$13="ICAO (3000ft)",'Aircraft Calc'!D$216,'Aircraft Calc'!H$216)</f>
        <v>2.5</v>
      </c>
      <c r="I839" s="186">
        <f>IF(ALECA_Input!$F$13="ICAO (3000ft)",'Aircraft Calc'!E$216,'Aircraft Calc'!I$216)</f>
        <v>4.5</v>
      </c>
      <c r="J839" s="189">
        <v>1</v>
      </c>
      <c r="K839" s="187">
        <f t="shared" si="217"/>
        <v>50.957999999999998</v>
      </c>
      <c r="L839" s="187">
        <f t="shared" si="218"/>
        <v>0.76213410000000004</v>
      </c>
      <c r="M839" s="187">
        <f t="shared" si="219"/>
        <v>0</v>
      </c>
      <c r="N839" s="187">
        <f t="shared" si="220"/>
        <v>0.12505079999999999</v>
      </c>
      <c r="O839" s="187">
        <f t="shared" si="221"/>
        <v>2.5386163679999997E-2</v>
      </c>
      <c r="P839" s="188">
        <f t="shared" si="222"/>
        <v>6.4580974587932621E+17</v>
      </c>
      <c r="Q839" s="187">
        <f t="shared" si="223"/>
        <v>2081.7986728513679</v>
      </c>
      <c r="R839" s="219">
        <f t="shared" si="224"/>
        <v>10.357714285714318</v>
      </c>
      <c r="S839" s="219">
        <f t="shared" si="225"/>
        <v>0</v>
      </c>
      <c r="T839" s="219">
        <f t="shared" si="226"/>
        <v>38.709221460403995</v>
      </c>
      <c r="U839" s="219">
        <f t="shared" si="227"/>
        <v>0.72646446487821337</v>
      </c>
      <c r="V839" s="188">
        <f t="shared" si="228"/>
        <v>3.539229428186474E+16</v>
      </c>
      <c r="W839" s="323">
        <v>0.17449999999999999</v>
      </c>
      <c r="X839" s="323">
        <v>0.15379999999999999</v>
      </c>
      <c r="Y839" s="323">
        <v>8.3900000000000002E-2</v>
      </c>
      <c r="Z839" s="323">
        <v>3.4696644547522797E-2</v>
      </c>
      <c r="AA839" s="323">
        <v>20.400000000000002</v>
      </c>
      <c r="AB839" s="323">
        <v>17.900000000000002</v>
      </c>
      <c r="AC839" s="323">
        <v>10.700000000000001</v>
      </c>
      <c r="AD839" s="323">
        <v>4.9753678973806403</v>
      </c>
      <c r="AE839" s="323">
        <v>0</v>
      </c>
      <c r="AF839" s="323">
        <v>0</v>
      </c>
      <c r="AG839" s="323">
        <v>0</v>
      </c>
      <c r="AH839" s="323">
        <v>0</v>
      </c>
      <c r="AI839" s="323">
        <v>2.1</v>
      </c>
      <c r="AJ839" s="323">
        <v>1.9000000000000001</v>
      </c>
      <c r="AK839" s="323">
        <v>3.1</v>
      </c>
      <c r="AL839" s="323">
        <v>18.594123420871099</v>
      </c>
      <c r="AM839" s="323">
        <v>0.44</v>
      </c>
      <c r="AN839" s="323">
        <v>0.48</v>
      </c>
      <c r="AO839" s="323">
        <v>0.42</v>
      </c>
      <c r="AP839" s="323">
        <v>0.3</v>
      </c>
      <c r="AQ839" s="323">
        <v>0.48896000000000001</v>
      </c>
      <c r="AR839" s="323">
        <v>0.52895999999999999</v>
      </c>
      <c r="AS839" s="323">
        <v>0.46895999999999999</v>
      </c>
      <c r="AT839" s="323">
        <v>0.34895999999999999</v>
      </c>
      <c r="AU839" s="190">
        <v>2894275228981512</v>
      </c>
      <c r="AV839" s="190">
        <v>3965785028097823.5</v>
      </c>
      <c r="AW839" s="190">
        <v>2.3801154569257552E+16</v>
      </c>
      <c r="AX839" s="190">
        <v>1.700082469232682E+16</v>
      </c>
      <c r="AY839" s="203">
        <v>1</v>
      </c>
      <c r="BB839" s="204">
        <v>37446</v>
      </c>
      <c r="BC839" s="203" t="s">
        <v>3227</v>
      </c>
    </row>
    <row r="840" spans="1:55" x14ac:dyDescent="0.2">
      <c r="A840" s="184" t="s">
        <v>2925</v>
      </c>
      <c r="B840" s="184" t="s">
        <v>2924</v>
      </c>
      <c r="C840" s="184" t="s">
        <v>723</v>
      </c>
      <c r="D840" s="185" t="s">
        <v>2692</v>
      </c>
      <c r="E840" s="184" t="s">
        <v>2925</v>
      </c>
      <c r="F840" s="184" t="s">
        <v>2925</v>
      </c>
      <c r="G840" s="186">
        <f>IF(ALECA_Input!$F$13="ICAO (3000ft)",'Aircraft Calc'!C$216,'Aircraft Calc'!G$216)</f>
        <v>0.5</v>
      </c>
      <c r="H840" s="186">
        <f>IF(ALECA_Input!$F$13="ICAO (3000ft)",'Aircraft Calc'!D$216,'Aircraft Calc'!H$216)</f>
        <v>2.5</v>
      </c>
      <c r="I840" s="186">
        <f>IF(ALECA_Input!$F$13="ICAO (3000ft)",'Aircraft Calc'!E$216,'Aircraft Calc'!I$216)</f>
        <v>4.5</v>
      </c>
      <c r="J840" s="189">
        <v>1</v>
      </c>
      <c r="K840" s="187">
        <f t="shared" si="217"/>
        <v>89.91610254389937</v>
      </c>
      <c r="L840" s="187">
        <f t="shared" si="218"/>
        <v>1.4472428727488629</v>
      </c>
      <c r="M840" s="187">
        <f t="shared" si="219"/>
        <v>8.4434331925155232E-2</v>
      </c>
      <c r="N840" s="187">
        <f t="shared" si="220"/>
        <v>0.25194991766615948</v>
      </c>
      <c r="O840" s="187">
        <f t="shared" si="221"/>
        <v>5.0215310619777027E-2</v>
      </c>
      <c r="P840" s="188">
        <f t="shared" si="222"/>
        <v>1.1643206425302351E+18</v>
      </c>
      <c r="Q840" s="187">
        <f t="shared" si="223"/>
        <v>3272.5182963583379</v>
      </c>
      <c r="R840" s="219">
        <f t="shared" si="224"/>
        <v>10.153600000000074</v>
      </c>
      <c r="S840" s="219">
        <f t="shared" si="225"/>
        <v>34.692801487108497</v>
      </c>
      <c r="T840" s="219">
        <f t="shared" si="226"/>
        <v>79.395787174771328</v>
      </c>
      <c r="U840" s="219">
        <f t="shared" si="227"/>
        <v>1.3560325698726654</v>
      </c>
      <c r="V840" s="188">
        <f t="shared" si="228"/>
        <v>5.5635509858820136E+16</v>
      </c>
      <c r="W840" s="323">
        <v>0.29820000000000002</v>
      </c>
      <c r="X840" s="323">
        <v>0.2651</v>
      </c>
      <c r="Y840" s="323">
        <v>0.15261149090333101</v>
      </c>
      <c r="Z840" s="323">
        <v>5.4541971605972302E-2</v>
      </c>
      <c r="AA840" s="323">
        <v>21.6</v>
      </c>
      <c r="AB840" s="323">
        <v>19.900000000000002</v>
      </c>
      <c r="AC840" s="323">
        <v>11.2288465307403</v>
      </c>
      <c r="AD840" s="323">
        <v>3.1026870075253701</v>
      </c>
      <c r="AE840" s="323">
        <v>0.5</v>
      </c>
      <c r="AF840" s="323">
        <v>0.6</v>
      </c>
      <c r="AG840" s="323">
        <v>1.36153846153846</v>
      </c>
      <c r="AH840" s="323">
        <v>10.6012551635585</v>
      </c>
      <c r="AI840" s="323">
        <v>1.6</v>
      </c>
      <c r="AJ840" s="323">
        <v>1.6</v>
      </c>
      <c r="AK840" s="323">
        <v>4.2230769230769196</v>
      </c>
      <c r="AL840" s="323">
        <v>24.261373042015698</v>
      </c>
      <c r="AM840" s="323">
        <v>0.44</v>
      </c>
      <c r="AN840" s="323">
        <v>0.48</v>
      </c>
      <c r="AO840" s="323">
        <v>0.42</v>
      </c>
      <c r="AP840" s="323">
        <v>0.3</v>
      </c>
      <c r="AQ840" s="323">
        <v>0.54645999999999995</v>
      </c>
      <c r="AR840" s="323">
        <v>0.57455999999999996</v>
      </c>
      <c r="AS840" s="323">
        <v>0.54554653846153844</v>
      </c>
      <c r="AT840" s="323">
        <v>0.41436974435915602</v>
      </c>
      <c r="AU840" s="190">
        <v>2894275228981512</v>
      </c>
      <c r="AV840" s="190">
        <v>3965785028097823.5</v>
      </c>
      <c r="AW840" s="190">
        <v>2.3801154569257552E+16</v>
      </c>
      <c r="AX840" s="190">
        <v>1.700082469232682E+16</v>
      </c>
      <c r="AY840" s="203">
        <v>1.6</v>
      </c>
      <c r="BB840" s="204">
        <v>37446</v>
      </c>
      <c r="BC840" s="203" t="s">
        <v>3227</v>
      </c>
    </row>
    <row r="841" spans="1:55" x14ac:dyDescent="0.2">
      <c r="A841" s="184" t="s">
        <v>2927</v>
      </c>
      <c r="B841" s="184" t="s">
        <v>2926</v>
      </c>
      <c r="C841" s="184" t="s">
        <v>934</v>
      </c>
      <c r="D841" s="185" t="s">
        <v>2692</v>
      </c>
      <c r="E841" s="184" t="s">
        <v>2927</v>
      </c>
      <c r="F841" s="184" t="s">
        <v>2928</v>
      </c>
      <c r="G841" s="186">
        <f>IF(ALECA_Input!$F$13="ICAO (3000ft)",'Aircraft Calc'!C$216,'Aircraft Calc'!G$216)</f>
        <v>0.5</v>
      </c>
      <c r="H841" s="186">
        <f>IF(ALECA_Input!$F$13="ICAO (3000ft)",'Aircraft Calc'!D$216,'Aircraft Calc'!H$216)</f>
        <v>2.5</v>
      </c>
      <c r="I841" s="186">
        <f>IF(ALECA_Input!$F$13="ICAO (3000ft)",'Aircraft Calc'!E$216,'Aircraft Calc'!I$216)</f>
        <v>4.5</v>
      </c>
      <c r="J841" s="189">
        <v>1</v>
      </c>
      <c r="K841" s="187">
        <f t="shared" si="217"/>
        <v>46.820999999999998</v>
      </c>
      <c r="L841" s="187">
        <f t="shared" si="218"/>
        <v>8.8700228999999992E-2</v>
      </c>
      <c r="M841" s="187">
        <f t="shared" si="219"/>
        <v>0.13703157509999997</v>
      </c>
      <c r="N841" s="187">
        <f t="shared" si="220"/>
        <v>0.9586152899999999</v>
      </c>
      <c r="O841" s="187">
        <f t="shared" si="221"/>
        <v>2.8648176958125E-2</v>
      </c>
      <c r="P841" s="188">
        <f t="shared" si="222"/>
        <v>5.1214339263711936E+17</v>
      </c>
      <c r="Q841" s="187">
        <f t="shared" si="223"/>
        <v>1637.9434841113621</v>
      </c>
      <c r="R841" s="219">
        <f t="shared" si="224"/>
        <v>1.0715351142857186</v>
      </c>
      <c r="S841" s="219">
        <f t="shared" si="225"/>
        <v>459.8352611802818</v>
      </c>
      <c r="T841" s="219">
        <f t="shared" si="226"/>
        <v>568.4016487475966</v>
      </c>
      <c r="U841" s="219">
        <f t="shared" si="227"/>
        <v>3.2367762538661466</v>
      </c>
      <c r="V841" s="188">
        <f t="shared" si="228"/>
        <v>1.8100153519055572E+16</v>
      </c>
      <c r="W841" s="323">
        <v>0.13600000000000001</v>
      </c>
      <c r="X841" s="323">
        <v>0.13500000000000001</v>
      </c>
      <c r="Y841" s="323">
        <v>8.3299999999999999E-2</v>
      </c>
      <c r="Z841" s="323">
        <v>2.7299058068522699E-2</v>
      </c>
      <c r="AA841" s="323">
        <v>2.7212999999999998</v>
      </c>
      <c r="AB841" s="323">
        <v>2.7212999999999998</v>
      </c>
      <c r="AC841" s="323">
        <v>1</v>
      </c>
      <c r="AD841" s="323">
        <v>0.65419541313848295</v>
      </c>
      <c r="AE841" s="323">
        <v>0.32690000000000002</v>
      </c>
      <c r="AF841" s="323">
        <v>0.32690000000000002</v>
      </c>
      <c r="AG841" s="323">
        <v>5.7390999999999996</v>
      </c>
      <c r="AH841" s="323">
        <v>280.73939402723499</v>
      </c>
      <c r="AI841" s="323">
        <v>7.3548</v>
      </c>
      <c r="AJ841" s="323">
        <v>7.3548</v>
      </c>
      <c r="AK841" s="323">
        <v>34.665999999999997</v>
      </c>
      <c r="AL841" s="323">
        <v>347.02152684832902</v>
      </c>
      <c r="AM841" s="323">
        <v>0.43120000000000003</v>
      </c>
      <c r="AN841" s="323">
        <v>0.4536</v>
      </c>
      <c r="AO841" s="323">
        <v>0.3332</v>
      </c>
      <c r="AP841" s="323">
        <v>0.19500000000000001</v>
      </c>
      <c r="AQ841" s="323">
        <v>0.51775349999999998</v>
      </c>
      <c r="AR841" s="323">
        <v>0.5274044</v>
      </c>
      <c r="AS841" s="323">
        <v>0.704984375</v>
      </c>
      <c r="AT841" s="323">
        <v>1.9761220611480399</v>
      </c>
      <c r="AU841" s="190">
        <v>2836389724401882</v>
      </c>
      <c r="AV841" s="190">
        <v>3747666851552444</v>
      </c>
      <c r="AW841" s="190">
        <v>1.8882249291610988E+16</v>
      </c>
      <c r="AX841" s="190">
        <v>1.1050536050012432E+16</v>
      </c>
      <c r="AY841" s="203">
        <v>0.1</v>
      </c>
      <c r="BB841" s="204">
        <v>37446</v>
      </c>
      <c r="BC841" s="203" t="s">
        <v>3227</v>
      </c>
    </row>
    <row r="842" spans="1:55" x14ac:dyDescent="0.2">
      <c r="A842" s="184" t="s">
        <v>2930</v>
      </c>
      <c r="B842" s="184" t="s">
        <v>2929</v>
      </c>
      <c r="C842" s="184" t="s">
        <v>934</v>
      </c>
      <c r="D842" s="185" t="s">
        <v>2692</v>
      </c>
      <c r="E842" s="184" t="s">
        <v>2930</v>
      </c>
      <c r="F842" s="184" t="s">
        <v>2931</v>
      </c>
      <c r="G842" s="186">
        <f>IF(ALECA_Input!$F$13="ICAO (3000ft)",'Aircraft Calc'!C$216,'Aircraft Calc'!G$216)</f>
        <v>0.5</v>
      </c>
      <c r="H842" s="186">
        <f>IF(ALECA_Input!$F$13="ICAO (3000ft)",'Aircraft Calc'!D$216,'Aircraft Calc'!H$216)</f>
        <v>2.5</v>
      </c>
      <c r="I842" s="186">
        <f>IF(ALECA_Input!$F$13="ICAO (3000ft)",'Aircraft Calc'!E$216,'Aircraft Calc'!I$216)</f>
        <v>4.5</v>
      </c>
      <c r="J842" s="189">
        <v>1</v>
      </c>
      <c r="K842" s="187">
        <f t="shared" si="217"/>
        <v>46.820999999999998</v>
      </c>
      <c r="L842" s="187">
        <f t="shared" si="218"/>
        <v>8.8700228999999992E-2</v>
      </c>
      <c r="M842" s="187">
        <f t="shared" si="219"/>
        <v>0.13703157509999997</v>
      </c>
      <c r="N842" s="187">
        <f t="shared" si="220"/>
        <v>0.9586152899999999</v>
      </c>
      <c r="O842" s="187">
        <f t="shared" si="221"/>
        <v>2.8648176958125E-2</v>
      </c>
      <c r="P842" s="188">
        <f t="shared" si="222"/>
        <v>5.1214339263711936E+17</v>
      </c>
      <c r="Q842" s="187">
        <f t="shared" si="223"/>
        <v>1637.9434841113621</v>
      </c>
      <c r="R842" s="219">
        <f t="shared" si="224"/>
        <v>1.0715351142857186</v>
      </c>
      <c r="S842" s="219">
        <f t="shared" si="225"/>
        <v>459.8352611802818</v>
      </c>
      <c r="T842" s="219">
        <f t="shared" si="226"/>
        <v>568.4016487475966</v>
      </c>
      <c r="U842" s="219">
        <f t="shared" si="227"/>
        <v>3.2367762538661466</v>
      </c>
      <c r="V842" s="188">
        <f t="shared" si="228"/>
        <v>1.8100153519055572E+16</v>
      </c>
      <c r="W842" s="323">
        <v>0.13600000000000001</v>
      </c>
      <c r="X842" s="323">
        <v>0.13500000000000001</v>
      </c>
      <c r="Y842" s="323">
        <v>8.3299999999999999E-2</v>
      </c>
      <c r="Z842" s="323">
        <v>2.7299058068522699E-2</v>
      </c>
      <c r="AA842" s="323">
        <v>2.7212999999999998</v>
      </c>
      <c r="AB842" s="323">
        <v>2.7212999999999998</v>
      </c>
      <c r="AC842" s="323">
        <v>1</v>
      </c>
      <c r="AD842" s="323">
        <v>0.65419541313848295</v>
      </c>
      <c r="AE842" s="323">
        <v>0.32690000000000002</v>
      </c>
      <c r="AF842" s="323">
        <v>0.32690000000000002</v>
      </c>
      <c r="AG842" s="323">
        <v>5.7390999999999996</v>
      </c>
      <c r="AH842" s="323">
        <v>280.73939402723499</v>
      </c>
      <c r="AI842" s="323">
        <v>7.3548</v>
      </c>
      <c r="AJ842" s="323">
        <v>7.3548</v>
      </c>
      <c r="AK842" s="323">
        <v>34.665999999999997</v>
      </c>
      <c r="AL842" s="323">
        <v>347.02152684832902</v>
      </c>
      <c r="AM842" s="323">
        <v>0.43120000000000003</v>
      </c>
      <c r="AN842" s="323">
        <v>0.4536</v>
      </c>
      <c r="AO842" s="323">
        <v>0.3332</v>
      </c>
      <c r="AP842" s="323">
        <v>0.19500000000000001</v>
      </c>
      <c r="AQ842" s="323">
        <v>0.51775349999999998</v>
      </c>
      <c r="AR842" s="323">
        <v>0.5274044</v>
      </c>
      <c r="AS842" s="323">
        <v>0.704984375</v>
      </c>
      <c r="AT842" s="323">
        <v>1.9761220611480399</v>
      </c>
      <c r="AU842" s="190">
        <v>2836389724401882</v>
      </c>
      <c r="AV842" s="190">
        <v>3747666851552444</v>
      </c>
      <c r="AW842" s="190">
        <v>1.8882249291610988E+16</v>
      </c>
      <c r="AX842" s="190">
        <v>1.1050536050012432E+16</v>
      </c>
      <c r="AY842" s="203">
        <v>0.1</v>
      </c>
      <c r="BB842" s="204">
        <v>37446</v>
      </c>
      <c r="BC842" s="203" t="s">
        <v>3227</v>
      </c>
    </row>
    <row r="843" spans="1:55" x14ac:dyDescent="0.2">
      <c r="A843" s="184" t="s">
        <v>2702</v>
      </c>
      <c r="B843" s="184" t="s">
        <v>2932</v>
      </c>
      <c r="C843" s="184" t="s">
        <v>715</v>
      </c>
      <c r="D843" s="185" t="s">
        <v>2692</v>
      </c>
      <c r="E843" s="184" t="s">
        <v>2933</v>
      </c>
      <c r="F843" s="184" t="s">
        <v>2934</v>
      </c>
      <c r="G843" s="186">
        <f>IF(ALECA_Input!$F$13="ICAO (3000ft)",'Aircraft Calc'!C$216,'Aircraft Calc'!G$216)</f>
        <v>0.5</v>
      </c>
      <c r="H843" s="186">
        <f>IF(ALECA_Input!$F$13="ICAO (3000ft)",'Aircraft Calc'!D$216,'Aircraft Calc'!H$216)</f>
        <v>2.5</v>
      </c>
      <c r="I843" s="186">
        <f>IF(ALECA_Input!$F$13="ICAO (3000ft)",'Aircraft Calc'!E$216,'Aircraft Calc'!I$216)</f>
        <v>4.5</v>
      </c>
      <c r="J843" s="189">
        <v>1</v>
      </c>
      <c r="K843" s="187">
        <f t="shared" si="217"/>
        <v>38.247</v>
      </c>
      <c r="L843" s="187">
        <f t="shared" si="218"/>
        <v>0.40173569999999997</v>
      </c>
      <c r="M843" s="187">
        <f t="shared" si="219"/>
        <v>3.8246999999999995E-5</v>
      </c>
      <c r="N843" s="187">
        <f t="shared" si="220"/>
        <v>0.15174750000000001</v>
      </c>
      <c r="O843" s="187">
        <f t="shared" si="221"/>
        <v>1.66251459075E-2</v>
      </c>
      <c r="P843" s="188">
        <f t="shared" si="222"/>
        <v>3.9265731461191981E+17</v>
      </c>
      <c r="Q843" s="187">
        <f t="shared" si="223"/>
        <v>2532</v>
      </c>
      <c r="R843" s="219">
        <f t="shared" si="224"/>
        <v>14.432400000000001</v>
      </c>
      <c r="S843" s="219">
        <f t="shared" si="225"/>
        <v>2.532E-3</v>
      </c>
      <c r="T843" s="219">
        <f t="shared" si="226"/>
        <v>37.726800000000004</v>
      </c>
      <c r="U843" s="219">
        <f t="shared" si="227"/>
        <v>0.61392434244000005</v>
      </c>
      <c r="V843" s="188">
        <f t="shared" si="228"/>
        <v>2.7764726838026624E+16</v>
      </c>
      <c r="W843" s="323">
        <v>0.12839999999999999</v>
      </c>
      <c r="X843" s="323">
        <v>0.1123</v>
      </c>
      <c r="Y843" s="323">
        <v>6.5000000000000002E-2</v>
      </c>
      <c r="Z843" s="323">
        <v>4.2200000000000001E-2</v>
      </c>
      <c r="AA843" s="323">
        <v>13.6</v>
      </c>
      <c r="AB843" s="323">
        <v>12.3</v>
      </c>
      <c r="AC843" s="323">
        <v>8.1</v>
      </c>
      <c r="AD843" s="323">
        <v>5.7</v>
      </c>
      <c r="AE843" s="323">
        <v>1E-3</v>
      </c>
      <c r="AF843" s="323">
        <v>1E-3</v>
      </c>
      <c r="AG843" s="323">
        <v>1E-3</v>
      </c>
      <c r="AH843" s="323">
        <v>1E-3</v>
      </c>
      <c r="AI843" s="323">
        <v>2</v>
      </c>
      <c r="AJ843" s="323">
        <v>2.3000000000000003</v>
      </c>
      <c r="AK843" s="323">
        <v>6</v>
      </c>
      <c r="AL843" s="323">
        <v>14.9</v>
      </c>
      <c r="AM843" s="323">
        <v>0.42570000000000002</v>
      </c>
      <c r="AN843" s="323">
        <v>0.44280000000000003</v>
      </c>
      <c r="AO843" s="323">
        <v>0.32200000000000001</v>
      </c>
      <c r="AP843" s="323">
        <v>0.19350000000000001</v>
      </c>
      <c r="AQ843" s="323">
        <v>0.474775</v>
      </c>
      <c r="AR843" s="323">
        <v>0.491836</v>
      </c>
      <c r="AS843" s="323">
        <v>0.37101624999999999</v>
      </c>
      <c r="AT843" s="323">
        <v>0.24246617000000001</v>
      </c>
      <c r="AU843" s="190">
        <v>2800211284039612.5</v>
      </c>
      <c r="AV843" s="190">
        <v>3658436688420242.5</v>
      </c>
      <c r="AW843" s="190">
        <v>1.8247551836430788E+16</v>
      </c>
      <c r="AX843" s="190">
        <v>1.09655319265508E+16</v>
      </c>
      <c r="AY843" s="203">
        <v>0.8</v>
      </c>
      <c r="BA843" s="203">
        <v>1983</v>
      </c>
      <c r="BB843" s="204">
        <v>39105</v>
      </c>
      <c r="BC843" s="203" t="s">
        <v>3227</v>
      </c>
    </row>
  </sheetData>
  <sheetProtection algorithmName="SHA-512" hashValue="aS/c/WptKcOrHSAUFya7RxEpO4RzELKVfqy/mTMFu+9qNXTZt6dmyP3NVFpZeiu0LeuAyjooKrIaN5n9bXcXaQ==" saltValue="n36MqvnWCszX5tm0Njz/iQ==" spinCount="100000" sheet="1" objects="1" scenarios="1" selectLockedCells="1" selectUnlockedCells="1"/>
  <sortState xmlns:xlrd2="http://schemas.microsoft.com/office/spreadsheetml/2017/richdata2" ref="A3:BD825">
    <sortCondition ref="B3:B825"/>
  </sortState>
  <pageMargins left="0.7" right="0.7" top="0.78740157499999996" bottom="0.78740157499999996"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163"/>
  <sheetViews>
    <sheetView topLeftCell="A40" zoomScale="80" zoomScaleNormal="80" workbookViewId="0">
      <selection activeCell="A40" sqref="A1:XFD1048576"/>
    </sheetView>
  </sheetViews>
  <sheetFormatPr baseColWidth="10" defaultColWidth="11.5546875" defaultRowHeight="13.2" x14ac:dyDescent="0.25"/>
  <cols>
    <col min="1" max="1" width="5.33203125" style="100" customWidth="1"/>
    <col min="2" max="2" width="27.6640625" style="100" customWidth="1"/>
    <col min="3" max="3" width="14.33203125" style="100" customWidth="1"/>
    <col min="4" max="4" width="17.33203125" style="100" customWidth="1"/>
    <col min="5" max="5" width="13.88671875" style="100" customWidth="1"/>
    <col min="6" max="6" width="15.6640625" style="100" customWidth="1"/>
    <col min="7" max="7" width="11.5546875" style="100"/>
    <col min="8" max="8" width="13.109375" style="100" bestFit="1" customWidth="1"/>
    <col min="9" max="9" width="12" style="100" customWidth="1"/>
    <col min="10" max="10" width="12.5546875" style="100" customWidth="1"/>
    <col min="11" max="11" width="11.6640625" style="100" bestFit="1" customWidth="1"/>
    <col min="12" max="12" width="15.6640625" style="100" customWidth="1"/>
    <col min="13" max="16384" width="11.5546875" style="100"/>
  </cols>
  <sheetData>
    <row r="1" spans="1:13" s="331" customFormat="1" ht="21.75" customHeight="1" x14ac:dyDescent="0.25">
      <c r="A1" s="330" t="s">
        <v>3524</v>
      </c>
      <c r="G1" s="332"/>
      <c r="H1" s="332"/>
      <c r="I1" s="332"/>
    </row>
    <row r="3" spans="1:13" ht="13.8" thickBot="1" x14ac:dyDescent="0.3">
      <c r="A3" s="630" t="s">
        <v>433</v>
      </c>
      <c r="B3" s="630"/>
      <c r="C3" s="237" t="s">
        <v>3423</v>
      </c>
      <c r="G3" s="632" t="s">
        <v>493</v>
      </c>
      <c r="H3" s="633"/>
      <c r="I3" s="634"/>
      <c r="K3" s="105"/>
      <c r="L3" s="107" t="s">
        <v>646</v>
      </c>
    </row>
    <row r="4" spans="1:13" x14ac:dyDescent="0.25">
      <c r="B4" s="100" t="s">
        <v>438</v>
      </c>
      <c r="D4" s="100" t="s">
        <v>434</v>
      </c>
      <c r="E4" s="100">
        <v>3.7854100000000002</v>
      </c>
      <c r="G4" s="101" t="s">
        <v>168</v>
      </c>
      <c r="H4" s="101" t="s">
        <v>496</v>
      </c>
      <c r="I4" s="166" t="s">
        <v>414</v>
      </c>
      <c r="K4" s="251"/>
      <c r="L4" s="167" t="s">
        <v>644</v>
      </c>
      <c r="M4" s="105"/>
    </row>
    <row r="5" spans="1:13" x14ac:dyDescent="0.25">
      <c r="B5" s="100" t="s">
        <v>435</v>
      </c>
      <c r="D5" s="100" t="s">
        <v>436</v>
      </c>
      <c r="E5" s="100">
        <v>0.83</v>
      </c>
      <c r="G5" s="124" t="s">
        <v>432</v>
      </c>
      <c r="H5" s="124" t="s">
        <v>432</v>
      </c>
      <c r="I5" s="248" t="s">
        <v>3330</v>
      </c>
      <c r="K5" s="251"/>
      <c r="L5" s="168" t="s">
        <v>645</v>
      </c>
      <c r="M5" s="105"/>
    </row>
    <row r="6" spans="1:13" x14ac:dyDescent="0.25">
      <c r="B6" s="100" t="s">
        <v>437</v>
      </c>
      <c r="D6" s="100" t="s">
        <v>436</v>
      </c>
      <c r="E6" s="100">
        <v>0.745</v>
      </c>
      <c r="G6" s="124" t="s">
        <v>494</v>
      </c>
      <c r="H6" s="124" t="s">
        <v>494</v>
      </c>
      <c r="I6" s="124" t="s">
        <v>3329</v>
      </c>
      <c r="J6" s="112"/>
      <c r="K6" s="104"/>
      <c r="L6" s="252" t="s">
        <v>611</v>
      </c>
      <c r="M6" s="105"/>
    </row>
    <row r="7" spans="1:13" ht="13.8" thickBot="1" x14ac:dyDescent="0.3">
      <c r="B7" s="100" t="s">
        <v>440</v>
      </c>
      <c r="D7" s="100" t="s">
        <v>436</v>
      </c>
      <c r="E7" s="100">
        <v>0.8</v>
      </c>
      <c r="G7" s="124" t="s">
        <v>2962</v>
      </c>
      <c r="H7" s="124" t="s">
        <v>2962</v>
      </c>
      <c r="I7" s="124" t="s">
        <v>2962</v>
      </c>
      <c r="K7" s="104"/>
      <c r="L7" s="253" t="s">
        <v>3344</v>
      </c>
      <c r="M7" s="105"/>
    </row>
    <row r="8" spans="1:13" x14ac:dyDescent="0.25">
      <c r="B8" s="100" t="s">
        <v>441</v>
      </c>
      <c r="D8" s="100" t="s">
        <v>436</v>
      </c>
      <c r="E8" s="100">
        <v>0.72</v>
      </c>
      <c r="G8" s="124" t="s">
        <v>495</v>
      </c>
      <c r="L8" s="112"/>
    </row>
    <row r="9" spans="1:13" x14ac:dyDescent="0.25">
      <c r="B9" s="100" t="s">
        <v>502</v>
      </c>
      <c r="D9" s="100" t="s">
        <v>436</v>
      </c>
      <c r="E9" s="100">
        <v>2.5670000000000002</v>
      </c>
    </row>
    <row r="10" spans="1:13" x14ac:dyDescent="0.25">
      <c r="B10" s="100" t="s">
        <v>501</v>
      </c>
      <c r="D10" s="100" t="s">
        <v>436</v>
      </c>
      <c r="E10" s="100">
        <v>128.19999999999999</v>
      </c>
    </row>
    <row r="12" spans="1:13" x14ac:dyDescent="0.25">
      <c r="B12" s="135" t="s">
        <v>566</v>
      </c>
      <c r="G12" s="135" t="s">
        <v>498</v>
      </c>
      <c r="H12" s="135" t="s">
        <v>3442</v>
      </c>
      <c r="I12" s="135" t="s">
        <v>598</v>
      </c>
      <c r="J12" s="135" t="s">
        <v>3576</v>
      </c>
      <c r="K12" s="135" t="s">
        <v>3399</v>
      </c>
    </row>
    <row r="13" spans="1:13" x14ac:dyDescent="0.25">
      <c r="B13" s="117" t="e">
        <f>VLOOKUP(ALECA_Input!J5,Countries!A13:H155,8,FALSE)</f>
        <v>#N/A</v>
      </c>
      <c r="C13" s="100" t="s">
        <v>567</v>
      </c>
      <c r="G13" s="124" t="s">
        <v>564</v>
      </c>
      <c r="H13" s="124" t="s">
        <v>3446</v>
      </c>
      <c r="I13" s="124" t="s">
        <v>3587</v>
      </c>
      <c r="J13" s="124" t="s">
        <v>3588</v>
      </c>
      <c r="K13" s="124" t="s">
        <v>3400</v>
      </c>
    </row>
    <row r="14" spans="1:13" x14ac:dyDescent="0.25">
      <c r="G14" s="124" t="s">
        <v>565</v>
      </c>
      <c r="H14" s="124" t="s">
        <v>3445</v>
      </c>
      <c r="I14" s="124" t="s">
        <v>3586</v>
      </c>
      <c r="J14" s="124" t="s">
        <v>3577</v>
      </c>
      <c r="K14" s="124" t="s">
        <v>3401</v>
      </c>
    </row>
    <row r="15" spans="1:13" x14ac:dyDescent="0.25">
      <c r="B15" s="135" t="s">
        <v>3241</v>
      </c>
      <c r="D15" s="135" t="s">
        <v>3604</v>
      </c>
      <c r="G15" s="124" t="s">
        <v>576</v>
      </c>
    </row>
    <row r="16" spans="1:13" x14ac:dyDescent="0.25">
      <c r="B16" s="191">
        <v>3.16</v>
      </c>
      <c r="C16" s="100" t="s">
        <v>3239</v>
      </c>
      <c r="D16" s="191">
        <v>5.0000000000000002E-5</v>
      </c>
      <c r="E16" s="100" t="s">
        <v>416</v>
      </c>
    </row>
    <row r="17" spans="1:13" x14ac:dyDescent="0.25">
      <c r="B17" s="191">
        <v>3.05</v>
      </c>
      <c r="C17" s="100" t="s">
        <v>3240</v>
      </c>
      <c r="D17" s="191">
        <v>2.0000000000000002E-5</v>
      </c>
      <c r="E17" s="100" t="s">
        <v>427</v>
      </c>
    </row>
    <row r="19" spans="1:13" x14ac:dyDescent="0.25">
      <c r="A19" s="630" t="s">
        <v>168</v>
      </c>
      <c r="B19" s="630"/>
      <c r="C19" s="237" t="s">
        <v>3422</v>
      </c>
    </row>
    <row r="20" spans="1:13" ht="6.6" customHeight="1" x14ac:dyDescent="0.25"/>
    <row r="21" spans="1:13" x14ac:dyDescent="0.25">
      <c r="B21" s="310" t="s">
        <v>430</v>
      </c>
      <c r="C21" s="310"/>
      <c r="D21" s="311"/>
      <c r="E21" s="312" t="s">
        <v>578</v>
      </c>
      <c r="F21" s="312" t="s">
        <v>511</v>
      </c>
      <c r="G21" s="312" t="s">
        <v>388</v>
      </c>
      <c r="H21" s="312" t="s">
        <v>389</v>
      </c>
      <c r="I21" s="312" t="s">
        <v>1</v>
      </c>
      <c r="J21" s="312" t="s">
        <v>569</v>
      </c>
      <c r="K21" s="312" t="s">
        <v>512</v>
      </c>
      <c r="L21" s="312" t="s">
        <v>431</v>
      </c>
      <c r="M21" s="110"/>
    </row>
    <row r="22" spans="1:13" x14ac:dyDescent="0.25">
      <c r="B22" s="300" t="s">
        <v>415</v>
      </c>
      <c r="C22" s="256">
        <f>ALECA_Input!D137</f>
        <v>0</v>
      </c>
      <c r="D22" s="257" t="str">
        <f>ALECA_Input!F137</f>
        <v>litre</v>
      </c>
      <c r="E22" s="111" t="s">
        <v>517</v>
      </c>
      <c r="F22" s="111" t="s">
        <v>3411</v>
      </c>
      <c r="G22" s="111" t="s">
        <v>3411</v>
      </c>
      <c r="H22" s="111" t="s">
        <v>3411</v>
      </c>
      <c r="I22" s="111" t="s">
        <v>3411</v>
      </c>
      <c r="J22" s="111" t="s">
        <v>3404</v>
      </c>
      <c r="K22" s="111" t="s">
        <v>3411</v>
      </c>
      <c r="L22" s="111" t="s">
        <v>3411</v>
      </c>
      <c r="M22" s="110"/>
    </row>
    <row r="23" spans="1:13" x14ac:dyDescent="0.25">
      <c r="B23" s="100" t="s">
        <v>3407</v>
      </c>
      <c r="C23" s="297">
        <f>IF(D22="litre",C22*E5,IF(D22="gallons",D22/E4*E5,IF(D22="hours",C22*E23,C22)))</f>
        <v>0</v>
      </c>
      <c r="D23" s="102" t="s">
        <v>3408</v>
      </c>
      <c r="E23" s="117">
        <v>6.9</v>
      </c>
      <c r="F23" s="117">
        <v>29.115942028985504</v>
      </c>
      <c r="G23" s="117">
        <v>2.0202898550724635</v>
      </c>
      <c r="H23" s="117">
        <v>4.040579710144927</v>
      </c>
      <c r="I23" s="117">
        <v>0.724927536231884</v>
      </c>
      <c r="J23" s="228">
        <v>50269565217391.305</v>
      </c>
      <c r="K23" s="236">
        <v>0.02</v>
      </c>
      <c r="L23" s="117">
        <v>3155</v>
      </c>
      <c r="M23" s="111"/>
    </row>
    <row r="24" spans="1:13" s="101" customFormat="1" x14ac:dyDescent="0.25">
      <c r="B24" s="101" t="s">
        <v>2942</v>
      </c>
      <c r="D24" s="301" t="s">
        <v>3395</v>
      </c>
      <c r="E24" s="302"/>
      <c r="F24" s="303">
        <f>F23*C$23/1000</f>
        <v>0</v>
      </c>
      <c r="G24" s="303">
        <f>G23*C$23/1000</f>
        <v>0</v>
      </c>
      <c r="H24" s="303">
        <f>H23*C$23/1000</f>
        <v>0</v>
      </c>
      <c r="I24" s="303">
        <f>I23*C$23/1000</f>
        <v>0</v>
      </c>
      <c r="J24" s="230">
        <f>J23*C$23</f>
        <v>0</v>
      </c>
      <c r="K24" s="303">
        <f>K23*C$23/1000</f>
        <v>0</v>
      </c>
      <c r="L24" s="303">
        <f>L23*C$23/1000</f>
        <v>0</v>
      </c>
    </row>
    <row r="25" spans="1:13" s="304" customFormat="1" ht="11.4" x14ac:dyDescent="0.2">
      <c r="C25" s="304" t="s">
        <v>3409</v>
      </c>
      <c r="D25" s="304" t="s">
        <v>3410</v>
      </c>
      <c r="E25" s="304">
        <v>6.55</v>
      </c>
      <c r="F25" s="304">
        <v>7.9089999999999998</v>
      </c>
      <c r="G25" s="304">
        <v>0.76</v>
      </c>
      <c r="H25" s="304">
        <v>4.0640000000000001</v>
      </c>
      <c r="I25" s="304">
        <v>0.41210000000000002</v>
      </c>
      <c r="J25" s="305">
        <v>1260000000</v>
      </c>
      <c r="L25" s="304">
        <v>3150</v>
      </c>
    </row>
    <row r="26" spans="1:13" x14ac:dyDescent="0.25">
      <c r="C26" s="309" t="s">
        <v>3412</v>
      </c>
      <c r="D26" s="309" t="s">
        <v>3413</v>
      </c>
      <c r="F26" s="308">
        <f>F25*$C$23/1000</f>
        <v>0</v>
      </c>
      <c r="G26" s="308">
        <f t="shared" ref="G26:L26" si="0">G25*$C$23/1000</f>
        <v>0</v>
      </c>
      <c r="H26" s="308">
        <f t="shared" si="0"/>
        <v>0</v>
      </c>
      <c r="I26" s="308">
        <f t="shared" si="0"/>
        <v>0</v>
      </c>
      <c r="J26" s="307">
        <f>J25*$C$23</f>
        <v>0</v>
      </c>
      <c r="K26" s="306">
        <f t="shared" si="0"/>
        <v>0</v>
      </c>
      <c r="L26" s="308">
        <f t="shared" si="0"/>
        <v>0</v>
      </c>
    </row>
    <row r="28" spans="1:13" x14ac:dyDescent="0.25">
      <c r="A28" s="631" t="s">
        <v>382</v>
      </c>
      <c r="B28" s="631"/>
      <c r="C28" s="237" t="s">
        <v>3526</v>
      </c>
    </row>
    <row r="30" spans="1:13" x14ac:dyDescent="0.25">
      <c r="A30" s="108" t="s">
        <v>409</v>
      </c>
      <c r="B30" s="109"/>
      <c r="C30" s="109"/>
      <c r="D30" s="109"/>
      <c r="E30" s="109"/>
      <c r="F30" s="109"/>
      <c r="G30" s="109"/>
      <c r="H30" s="109"/>
      <c r="I30" s="109"/>
      <c r="J30" s="109"/>
      <c r="K30" s="109"/>
      <c r="L30" s="109"/>
    </row>
    <row r="31" spans="1:13" ht="5.4" customHeight="1" x14ac:dyDescent="0.25">
      <c r="B31" s="106"/>
      <c r="C31" s="106"/>
      <c r="D31" s="106"/>
      <c r="E31" s="106"/>
      <c r="F31" s="106"/>
      <c r="G31" s="106"/>
    </row>
    <row r="32" spans="1:13" s="125" customFormat="1" x14ac:dyDescent="0.25">
      <c r="B32" s="116"/>
      <c r="C32" s="237" t="s">
        <v>3513</v>
      </c>
      <c r="J32" s="437" t="s">
        <v>3525</v>
      </c>
    </row>
    <row r="33" spans="1:12" s="125" customFormat="1" ht="15.6" x14ac:dyDescent="0.25">
      <c r="B33" s="442" t="s">
        <v>3516</v>
      </c>
      <c r="C33" s="441" t="s">
        <v>3451</v>
      </c>
      <c r="D33" s="310"/>
      <c r="E33" s="310" t="s">
        <v>11</v>
      </c>
      <c r="F33" s="445" t="s">
        <v>3521</v>
      </c>
      <c r="G33" s="445" t="s">
        <v>388</v>
      </c>
      <c r="H33" s="445" t="s">
        <v>389</v>
      </c>
      <c r="I33" s="445" t="s">
        <v>3522</v>
      </c>
      <c r="J33" s="445" t="s">
        <v>571</v>
      </c>
      <c r="K33" s="312" t="s">
        <v>512</v>
      </c>
      <c r="L33" s="445" t="s">
        <v>3523</v>
      </c>
    </row>
    <row r="34" spans="1:12" s="125" customFormat="1" x14ac:dyDescent="0.25">
      <c r="B34" s="116"/>
      <c r="C34" s="103"/>
      <c r="F34" s="449" t="s">
        <v>387</v>
      </c>
      <c r="G34" s="449" t="s">
        <v>387</v>
      </c>
      <c r="H34" s="449" t="s">
        <v>387</v>
      </c>
      <c r="I34" s="449" t="s">
        <v>387</v>
      </c>
      <c r="J34" s="449" t="s">
        <v>391</v>
      </c>
      <c r="K34" s="398" t="s">
        <v>387</v>
      </c>
      <c r="L34" s="449" t="s">
        <v>387</v>
      </c>
    </row>
    <row r="35" spans="1:12" s="125" customFormat="1" x14ac:dyDescent="0.25">
      <c r="B35" s="443" t="s">
        <v>3519</v>
      </c>
      <c r="C35" s="103" t="s">
        <v>3517</v>
      </c>
      <c r="D35" s="438">
        <f>ALECA_Input!D143*('Aircraft Calc'!H188+'Aircraft Calc'!H189+'Aircraft Calc'!H190)</f>
        <v>0</v>
      </c>
      <c r="F35" s="446">
        <v>0.4</v>
      </c>
      <c r="G35" s="446">
        <v>0.04</v>
      </c>
      <c r="H35" s="446">
        <v>0.15</v>
      </c>
      <c r="I35" s="446">
        <v>2.5000000000000001E-2</v>
      </c>
      <c r="J35" s="446" t="s">
        <v>392</v>
      </c>
      <c r="K35" s="399">
        <f>L35/3.15*0.00005</f>
        <v>2.8571428571428574E-4</v>
      </c>
      <c r="L35" s="446">
        <v>18</v>
      </c>
    </row>
    <row r="36" spans="1:12" s="125" customFormat="1" x14ac:dyDescent="0.25">
      <c r="B36" s="116"/>
      <c r="C36" s="103" t="s">
        <v>3518</v>
      </c>
      <c r="D36" s="438">
        <f>ALECA_Input!D143*('Aircraft Calc'!H186+'Aircraft Calc'!H187)</f>
        <v>0</v>
      </c>
      <c r="F36" s="446">
        <v>0.9</v>
      </c>
      <c r="G36" s="446">
        <v>7.0000000000000007E-2</v>
      </c>
      <c r="H36" s="446">
        <v>0.3</v>
      </c>
      <c r="I36" s="446">
        <v>5.5E-2</v>
      </c>
      <c r="J36" s="446" t="s">
        <v>392</v>
      </c>
      <c r="K36" s="399">
        <f>L36/3.15*0.00005</f>
        <v>9.2063492063492076E-4</v>
      </c>
      <c r="L36" s="446">
        <v>58</v>
      </c>
    </row>
    <row r="37" spans="1:12" s="125" customFormat="1" x14ac:dyDescent="0.25">
      <c r="B37" s="443" t="s">
        <v>3520</v>
      </c>
      <c r="C37" s="103" t="s">
        <v>3517</v>
      </c>
      <c r="D37" s="438">
        <f>ALECA_Input!D145*('Aircraft Calc'!H188+'Aircraft Calc'!H189+'Aircraft Calc'!H190)</f>
        <v>0</v>
      </c>
      <c r="F37" s="446">
        <v>0.26</v>
      </c>
      <c r="G37" s="446">
        <v>0.02</v>
      </c>
      <c r="H37" s="446">
        <v>0.1</v>
      </c>
      <c r="I37" s="446">
        <v>1.4999999999999999E-2</v>
      </c>
      <c r="J37" s="447">
        <v>40000000000000</v>
      </c>
      <c r="K37" s="399">
        <f>L37/3.15*0.00005</f>
        <v>3.1746031746031751E-4</v>
      </c>
      <c r="L37" s="446">
        <v>20</v>
      </c>
    </row>
    <row r="38" spans="1:12" s="125" customFormat="1" x14ac:dyDescent="0.25">
      <c r="B38" s="116"/>
      <c r="C38" s="103" t="s">
        <v>3518</v>
      </c>
      <c r="D38" s="438">
        <f>ALECA_Input!D145*('Aircraft Calc'!H186+'Aircraft Calc'!H187)</f>
        <v>0</v>
      </c>
      <c r="F38" s="446">
        <v>0.51</v>
      </c>
      <c r="G38" s="446">
        <v>4.4999999999999998E-2</v>
      </c>
      <c r="H38" s="446">
        <v>0.22500000000000001</v>
      </c>
      <c r="I38" s="446">
        <v>0.03</v>
      </c>
      <c r="J38" s="447">
        <v>110000000000000</v>
      </c>
      <c r="K38" s="399">
        <f>L38/3.15*0.00005</f>
        <v>7.6190476190476203E-4</v>
      </c>
      <c r="L38" s="446">
        <v>48</v>
      </c>
    </row>
    <row r="39" spans="1:12" s="148" customFormat="1" x14ac:dyDescent="0.25">
      <c r="B39" s="444" t="s">
        <v>167</v>
      </c>
      <c r="C39" s="440"/>
      <c r="E39" s="148" t="s">
        <v>3515</v>
      </c>
      <c r="F39" s="448">
        <f>(F35*D$35+F36*D$36+F37*D$37+F38*D$38)/2</f>
        <v>0</v>
      </c>
      <c r="G39" s="448">
        <f>(G35*D$35+G36*D$36+G37*D$37+G38*D$38)/2</f>
        <v>0</v>
      </c>
      <c r="H39" s="448">
        <f>(H35*D$35+H36*D$36+H37*D$37+H38*D$38)/2</f>
        <v>0</v>
      </c>
      <c r="I39" s="448">
        <f>(I35*D$35+I36*D$36+I37*D$37+I38*D$38)/2</f>
        <v>0</v>
      </c>
      <c r="J39" s="250">
        <f>(J37*D$35+J38*D$36+J37*D$37+J38*D$38)/2</f>
        <v>0</v>
      </c>
      <c r="K39" s="448">
        <f>(K35*D$35+K36*D$36+K37*D$37+K38*D$38)/2</f>
        <v>0</v>
      </c>
      <c r="L39" s="448">
        <f>(L35*D$35+L36*D$36+L37*D$37+L38*D$38)/2</f>
        <v>0</v>
      </c>
    </row>
    <row r="40" spans="1:12" s="125" customFormat="1" x14ac:dyDescent="0.25">
      <c r="B40" s="116"/>
      <c r="C40" s="103"/>
    </row>
    <row r="41" spans="1:12" x14ac:dyDescent="0.25">
      <c r="A41" s="108" t="s">
        <v>411</v>
      </c>
      <c r="B41" s="109"/>
      <c r="C41" s="109"/>
      <c r="D41" s="109"/>
      <c r="E41" s="109"/>
      <c r="F41" s="109"/>
      <c r="G41" s="109"/>
      <c r="H41" s="109"/>
      <c r="I41" s="109"/>
      <c r="J41" s="109"/>
      <c r="K41" s="109"/>
      <c r="L41" s="109"/>
    </row>
    <row r="42" spans="1:12" ht="4.5" customHeight="1" x14ac:dyDescent="0.25"/>
    <row r="43" spans="1:12" x14ac:dyDescent="0.25">
      <c r="C43" s="237" t="s">
        <v>3546</v>
      </c>
      <c r="J43" s="437"/>
    </row>
    <row r="44" spans="1:12" ht="15.6" x14ac:dyDescent="0.25">
      <c r="B44" s="439" t="s">
        <v>414</v>
      </c>
      <c r="C44" s="312" t="s">
        <v>3514</v>
      </c>
      <c r="D44" s="312" t="s">
        <v>577</v>
      </c>
      <c r="E44" s="312" t="s">
        <v>578</v>
      </c>
      <c r="F44" s="445" t="s">
        <v>3521</v>
      </c>
      <c r="G44" s="312" t="s">
        <v>579</v>
      </c>
      <c r="H44" s="312" t="s">
        <v>580</v>
      </c>
      <c r="I44" s="312" t="s">
        <v>581</v>
      </c>
      <c r="J44" s="312" t="s">
        <v>547</v>
      </c>
      <c r="K44" s="312" t="s">
        <v>585</v>
      </c>
      <c r="L44" s="312" t="s">
        <v>431</v>
      </c>
    </row>
    <row r="45" spans="1:12" x14ac:dyDescent="0.25">
      <c r="C45" s="386"/>
      <c r="D45" s="386"/>
      <c r="E45" s="436" t="s">
        <v>432</v>
      </c>
      <c r="F45" s="102" t="s">
        <v>3411</v>
      </c>
      <c r="G45" s="436" t="s">
        <v>3411</v>
      </c>
      <c r="H45" s="436" t="s">
        <v>3411</v>
      </c>
      <c r="I45" s="436" t="s">
        <v>3411</v>
      </c>
      <c r="J45" s="450" t="s">
        <v>3404</v>
      </c>
      <c r="K45" s="436" t="s">
        <v>3411</v>
      </c>
      <c r="L45" s="436" t="s">
        <v>3411</v>
      </c>
    </row>
    <row r="46" spans="1:12" x14ac:dyDescent="0.25">
      <c r="B46" s="100" t="s">
        <v>427</v>
      </c>
      <c r="C46" s="254">
        <f>ALECA_Input!D148</f>
        <v>0</v>
      </c>
      <c r="D46" s="255" t="str">
        <f>ALECA_Input!F148</f>
        <v>litre</v>
      </c>
      <c r="E46" s="100">
        <f>IF(D46="gallons",C46/E4*E5,IF(D46="litre",C46*E5,C46))</f>
        <v>0</v>
      </c>
      <c r="F46" s="113">
        <v>19.23</v>
      </c>
      <c r="G46" s="113">
        <v>1.54</v>
      </c>
      <c r="H46" s="113">
        <v>7.69</v>
      </c>
      <c r="I46" s="113">
        <v>0.76900000000000002</v>
      </c>
      <c r="J46" s="154">
        <v>6200000000000</v>
      </c>
      <c r="K46" s="100">
        <v>5.0000000000000001E-3</v>
      </c>
      <c r="L46" s="113">
        <v>3150</v>
      </c>
    </row>
    <row r="47" spans="1:12" x14ac:dyDescent="0.25">
      <c r="B47" s="100" t="s">
        <v>428</v>
      </c>
      <c r="C47" s="254">
        <f>ALECA_Input!D149</f>
        <v>0</v>
      </c>
      <c r="D47" s="255" t="str">
        <f>ALECA_Input!F149</f>
        <v>litre</v>
      </c>
      <c r="E47" s="100">
        <f>IF(D47="gallons",C47/E4*E6,IF(D47="litre",C47*E6,C47))</f>
        <v>0</v>
      </c>
      <c r="F47" s="113">
        <v>10.44</v>
      </c>
      <c r="G47" s="113">
        <v>15.55</v>
      </c>
      <c r="H47" s="473">
        <v>1037</v>
      </c>
      <c r="I47" s="113">
        <v>0.17799999999999999</v>
      </c>
      <c r="J47" s="154">
        <v>6200000000000</v>
      </c>
      <c r="K47" s="145">
        <v>5.0000000000000001E-3</v>
      </c>
      <c r="L47" s="113">
        <v>3197</v>
      </c>
    </row>
    <row r="48" spans="1:12" s="101" customFormat="1" x14ac:dyDescent="0.25">
      <c r="B48" s="101" t="s">
        <v>167</v>
      </c>
      <c r="D48" s="110" t="s">
        <v>3515</v>
      </c>
      <c r="F48" s="448">
        <f>(F46*E$46+F47*E$47)/1000</f>
        <v>0</v>
      </c>
      <c r="G48" s="448">
        <f>(G46*E$46+G47*E$47)/1000</f>
        <v>0</v>
      </c>
      <c r="H48" s="448">
        <f>(H46*E$46+H47*E$47)/1000</f>
        <v>0</v>
      </c>
      <c r="I48" s="448">
        <f>(I46*E$46+I47*E$47)/1000</f>
        <v>0</v>
      </c>
      <c r="J48" s="468">
        <f>(J46*E$46+J47*E$47)</f>
        <v>0</v>
      </c>
      <c r="K48" s="448">
        <f>(K46*E$46+K47*E$47)/1000</f>
        <v>0</v>
      </c>
      <c r="L48" s="448">
        <f>(L46*E$46+L47*E$47)/1000</f>
        <v>0</v>
      </c>
    </row>
    <row r="50" spans="1:12" x14ac:dyDescent="0.25">
      <c r="A50" s="108" t="s">
        <v>584</v>
      </c>
      <c r="B50" s="109"/>
      <c r="C50" s="109"/>
      <c r="D50" s="109"/>
      <c r="E50" s="109"/>
      <c r="F50" s="109"/>
      <c r="G50" s="109"/>
      <c r="H50" s="109"/>
      <c r="I50" s="109"/>
      <c r="J50" s="109"/>
      <c r="K50" s="109"/>
      <c r="L50" s="109"/>
    </row>
    <row r="51" spans="1:12" s="125" customFormat="1" ht="6" customHeight="1" x14ac:dyDescent="0.25">
      <c r="A51" s="148"/>
    </row>
    <row r="52" spans="1:12" s="125" customFormat="1" ht="14.25" customHeight="1" x14ac:dyDescent="0.25">
      <c r="A52" s="148"/>
      <c r="C52" s="237" t="s">
        <v>3542</v>
      </c>
    </row>
    <row r="53" spans="1:12" ht="15.6" x14ac:dyDescent="0.25">
      <c r="B53" s="310" t="s">
        <v>378</v>
      </c>
      <c r="C53" s="311"/>
      <c r="D53" s="312" t="s">
        <v>577</v>
      </c>
      <c r="E53" s="312" t="s">
        <v>578</v>
      </c>
      <c r="F53" s="445" t="s">
        <v>3521</v>
      </c>
      <c r="G53" s="312" t="s">
        <v>579</v>
      </c>
      <c r="H53" s="312" t="s">
        <v>580</v>
      </c>
      <c r="I53" s="312" t="s">
        <v>581</v>
      </c>
      <c r="J53" s="312" t="s">
        <v>547</v>
      </c>
      <c r="K53" s="312" t="s">
        <v>585</v>
      </c>
      <c r="L53" s="312" t="s">
        <v>431</v>
      </c>
    </row>
    <row r="54" spans="1:12" x14ac:dyDescent="0.25">
      <c r="B54" s="147" t="s">
        <v>383</v>
      </c>
      <c r="D54" s="111" t="s">
        <v>3512</v>
      </c>
      <c r="E54" s="117">
        <v>15.651999999999999</v>
      </c>
      <c r="F54" s="122">
        <v>0.56222000000000005</v>
      </c>
      <c r="G54" s="122">
        <v>5.0127999999999999E-2</v>
      </c>
      <c r="H54" s="122">
        <v>0.26934999999999998</v>
      </c>
      <c r="I54" s="122">
        <v>3.1882000000000001E-2</v>
      </c>
      <c r="J54" s="469">
        <v>89875000000000</v>
      </c>
      <c r="K54" s="470">
        <v>3.1304E-4</v>
      </c>
      <c r="L54" s="117">
        <v>49.305</v>
      </c>
    </row>
    <row r="55" spans="1:12" x14ac:dyDescent="0.25">
      <c r="B55" s="147" t="s">
        <v>393</v>
      </c>
      <c r="D55" s="111" t="s">
        <v>3512</v>
      </c>
      <c r="E55" s="117">
        <v>15.538</v>
      </c>
      <c r="F55" s="122">
        <v>0.55633999999999995</v>
      </c>
      <c r="G55" s="122">
        <v>4.9654999999999998E-2</v>
      </c>
      <c r="H55" s="122">
        <v>0.26693</v>
      </c>
      <c r="I55" s="122">
        <v>3.1579000000000003E-2</v>
      </c>
      <c r="J55" s="469">
        <v>89550000000000</v>
      </c>
      <c r="K55" s="470">
        <v>3.1075999999999999E-4</v>
      </c>
      <c r="L55" s="117">
        <v>48.945999999999998</v>
      </c>
    </row>
    <row r="56" spans="1:12" x14ac:dyDescent="0.25">
      <c r="B56" s="147" t="s">
        <v>394</v>
      </c>
      <c r="D56" s="111" t="s">
        <v>3512</v>
      </c>
      <c r="E56" s="117">
        <v>7.3738000000000001</v>
      </c>
      <c r="F56" s="122">
        <v>0.27284000000000003</v>
      </c>
      <c r="G56" s="122">
        <v>2.4375999999999998E-2</v>
      </c>
      <c r="H56" s="122">
        <v>0.13985</v>
      </c>
      <c r="I56" s="122">
        <v>1.5148999999999999E-2</v>
      </c>
      <c r="J56" s="469">
        <v>59386000000000</v>
      </c>
      <c r="K56" s="470">
        <v>1.4747600000000001E-4</v>
      </c>
      <c r="L56" s="117">
        <v>23.228000000000002</v>
      </c>
    </row>
    <row r="57" spans="1:12" x14ac:dyDescent="0.25">
      <c r="B57" s="147" t="s">
        <v>395</v>
      </c>
      <c r="D57" s="111" t="s">
        <v>3512</v>
      </c>
      <c r="E57" s="117">
        <v>3.5884</v>
      </c>
      <c r="F57" s="122">
        <v>0.11308</v>
      </c>
      <c r="G57" s="122">
        <v>1.0385E-2</v>
      </c>
      <c r="H57" s="122">
        <v>5.3365999999999997E-2</v>
      </c>
      <c r="I57" s="122">
        <v>6.2985999999999997E-3</v>
      </c>
      <c r="J57" s="469">
        <v>26890000000000</v>
      </c>
      <c r="K57" s="470">
        <v>7.1767999999999995E-5</v>
      </c>
      <c r="L57" s="117">
        <v>11.303000000000001</v>
      </c>
    </row>
    <row r="58" spans="1:12" x14ac:dyDescent="0.25">
      <c r="B58" s="147" t="s">
        <v>396</v>
      </c>
      <c r="D58" s="111" t="s">
        <v>3512</v>
      </c>
      <c r="E58" s="117">
        <v>2.5440999999999998</v>
      </c>
      <c r="F58" s="122">
        <v>6.9213999999999998E-2</v>
      </c>
      <c r="G58" s="122">
        <v>7.8334000000000008E-3</v>
      </c>
      <c r="H58" s="122">
        <v>6.3405000000000003E-2</v>
      </c>
      <c r="I58" s="122">
        <v>3.4505999999999998E-3</v>
      </c>
      <c r="J58" s="469">
        <v>27246000000000</v>
      </c>
      <c r="K58" s="470">
        <v>5.0881999999999998E-5</v>
      </c>
      <c r="L58" s="117">
        <v>8.0138999999999996</v>
      </c>
    </row>
    <row r="59" spans="1:12" x14ac:dyDescent="0.25">
      <c r="B59" s="147" t="s">
        <v>386</v>
      </c>
      <c r="D59" s="111" t="s">
        <v>3512</v>
      </c>
      <c r="E59" s="117">
        <v>0.30509999999999998</v>
      </c>
      <c r="F59" s="122">
        <v>3.4580000000000001E-3</v>
      </c>
      <c r="G59" s="122">
        <v>1.8251000000000001E-3</v>
      </c>
      <c r="H59" s="122">
        <v>3.3619000000000003E-2</v>
      </c>
      <c r="I59" s="122">
        <v>3.8422E-4</v>
      </c>
      <c r="J59" s="469">
        <v>9605600000000</v>
      </c>
      <c r="K59" s="470">
        <v>6.1020000000000002E-6</v>
      </c>
      <c r="L59" s="117">
        <v>0.96108000000000005</v>
      </c>
    </row>
    <row r="60" spans="1:12" x14ac:dyDescent="0.25">
      <c r="B60" s="147" t="s">
        <v>385</v>
      </c>
      <c r="D60" s="111" t="s">
        <v>3512</v>
      </c>
      <c r="E60" s="117">
        <v>0.30509999999999998</v>
      </c>
      <c r="F60" s="122">
        <v>3.4580000000000001E-3</v>
      </c>
      <c r="G60" s="122">
        <v>1.8251000000000001E-3</v>
      </c>
      <c r="H60" s="122">
        <v>3.3619000000000003E-2</v>
      </c>
      <c r="I60" s="122">
        <v>3.8422E-4</v>
      </c>
      <c r="J60" s="469">
        <v>9605600000000</v>
      </c>
      <c r="K60" s="470">
        <v>6.1020000000000002E-6</v>
      </c>
      <c r="L60" s="117">
        <v>0.96108000000000005</v>
      </c>
    </row>
    <row r="61" spans="1:12" x14ac:dyDescent="0.25">
      <c r="B61" s="147" t="s">
        <v>582</v>
      </c>
      <c r="D61" s="111" t="s">
        <v>3512</v>
      </c>
      <c r="E61" s="117">
        <v>0.30509999999999998</v>
      </c>
      <c r="F61" s="122">
        <v>3.4580000000000001E-3</v>
      </c>
      <c r="G61" s="122">
        <v>1.8251000000000001E-3</v>
      </c>
      <c r="H61" s="122">
        <v>3.3619000000000003E-2</v>
      </c>
      <c r="I61" s="122">
        <v>3.8422E-4</v>
      </c>
      <c r="J61" s="469">
        <v>9605600000000</v>
      </c>
      <c r="K61" s="470">
        <v>6.1020000000000002E-6</v>
      </c>
      <c r="L61" s="117">
        <v>0.96108000000000005</v>
      </c>
    </row>
    <row r="62" spans="1:12" x14ac:dyDescent="0.25">
      <c r="B62" s="147" t="s">
        <v>583</v>
      </c>
      <c r="D62" s="111" t="s">
        <v>3512</v>
      </c>
      <c r="E62" s="117">
        <v>0.15254999999999999</v>
      </c>
      <c r="F62" s="122">
        <v>1.7290000000000001E-3</v>
      </c>
      <c r="G62" s="122">
        <v>9.1253000000000005E-4</v>
      </c>
      <c r="H62" s="122">
        <v>1.6809999999999999E-2</v>
      </c>
      <c r="I62" s="122">
        <v>1.9211E-4</v>
      </c>
      <c r="J62" s="469">
        <v>4802800000000</v>
      </c>
      <c r="K62" s="470">
        <v>3.0510000000000001E-6</v>
      </c>
      <c r="L62" s="117">
        <v>0.48054000000000002</v>
      </c>
    </row>
    <row r="63" spans="1:12" ht="5.25" customHeight="1" x14ac:dyDescent="0.25"/>
    <row r="64" spans="1:12" x14ac:dyDescent="0.25">
      <c r="B64" s="147" t="s">
        <v>383</v>
      </c>
      <c r="D64" s="249">
        <f>'Aircraft Calc'!H186</f>
        <v>0</v>
      </c>
      <c r="F64" s="149">
        <f t="shared" ref="F64:L72" si="1">F54*$D64/2</f>
        <v>0</v>
      </c>
      <c r="G64" s="149">
        <f t="shared" si="1"/>
        <v>0</v>
      </c>
      <c r="H64" s="149">
        <f t="shared" si="1"/>
        <v>0</v>
      </c>
      <c r="I64" s="149">
        <f t="shared" si="1"/>
        <v>0</v>
      </c>
      <c r="J64" s="146">
        <f t="shared" si="1"/>
        <v>0</v>
      </c>
      <c r="K64" s="149">
        <f t="shared" si="1"/>
        <v>0</v>
      </c>
      <c r="L64" s="293">
        <f t="shared" si="1"/>
        <v>0</v>
      </c>
    </row>
    <row r="65" spans="1:12" x14ac:dyDescent="0.25">
      <c r="B65" s="147" t="s">
        <v>393</v>
      </c>
      <c r="D65" s="249">
        <f>'Aircraft Calc'!H187</f>
        <v>0</v>
      </c>
      <c r="F65" s="149">
        <f t="shared" si="1"/>
        <v>0</v>
      </c>
      <c r="G65" s="149">
        <f t="shared" si="1"/>
        <v>0</v>
      </c>
      <c r="H65" s="149">
        <f t="shared" si="1"/>
        <v>0</v>
      </c>
      <c r="I65" s="149">
        <f t="shared" si="1"/>
        <v>0</v>
      </c>
      <c r="J65" s="146">
        <f t="shared" si="1"/>
        <v>0</v>
      </c>
      <c r="K65" s="149">
        <f t="shared" si="1"/>
        <v>0</v>
      </c>
      <c r="L65" s="293">
        <f t="shared" si="1"/>
        <v>0</v>
      </c>
    </row>
    <row r="66" spans="1:12" x14ac:dyDescent="0.25">
      <c r="B66" s="147" t="s">
        <v>394</v>
      </c>
      <c r="D66" s="249">
        <f>'Aircraft Calc'!H188</f>
        <v>0</v>
      </c>
      <c r="F66" s="149">
        <f t="shared" si="1"/>
        <v>0</v>
      </c>
      <c r="G66" s="149">
        <f t="shared" si="1"/>
        <v>0</v>
      </c>
      <c r="H66" s="149">
        <f t="shared" si="1"/>
        <v>0</v>
      </c>
      <c r="I66" s="149">
        <f t="shared" si="1"/>
        <v>0</v>
      </c>
      <c r="J66" s="146">
        <f t="shared" si="1"/>
        <v>0</v>
      </c>
      <c r="K66" s="149">
        <f t="shared" si="1"/>
        <v>0</v>
      </c>
      <c r="L66" s="293">
        <f t="shared" si="1"/>
        <v>0</v>
      </c>
    </row>
    <row r="67" spans="1:12" x14ac:dyDescent="0.25">
      <c r="B67" s="147" t="s">
        <v>395</v>
      </c>
      <c r="D67" s="249">
        <f>'Aircraft Calc'!H189</f>
        <v>0</v>
      </c>
      <c r="F67" s="149">
        <f t="shared" si="1"/>
        <v>0</v>
      </c>
      <c r="G67" s="149">
        <f t="shared" si="1"/>
        <v>0</v>
      </c>
      <c r="H67" s="149">
        <f t="shared" si="1"/>
        <v>0</v>
      </c>
      <c r="I67" s="149">
        <f t="shared" si="1"/>
        <v>0</v>
      </c>
      <c r="J67" s="146">
        <f t="shared" si="1"/>
        <v>0</v>
      </c>
      <c r="K67" s="149">
        <f t="shared" si="1"/>
        <v>0</v>
      </c>
      <c r="L67" s="293">
        <f t="shared" si="1"/>
        <v>0</v>
      </c>
    </row>
    <row r="68" spans="1:12" x14ac:dyDescent="0.25">
      <c r="B68" s="147" t="s">
        <v>396</v>
      </c>
      <c r="D68" s="249">
        <f>'Aircraft Calc'!H190</f>
        <v>0</v>
      </c>
      <c r="F68" s="149">
        <f t="shared" si="1"/>
        <v>0</v>
      </c>
      <c r="G68" s="149">
        <f t="shared" si="1"/>
        <v>0</v>
      </c>
      <c r="H68" s="149">
        <f t="shared" si="1"/>
        <v>0</v>
      </c>
      <c r="I68" s="149">
        <f t="shared" si="1"/>
        <v>0</v>
      </c>
      <c r="J68" s="146">
        <f t="shared" si="1"/>
        <v>0</v>
      </c>
      <c r="K68" s="149">
        <f t="shared" si="1"/>
        <v>0</v>
      </c>
      <c r="L68" s="293">
        <f t="shared" si="1"/>
        <v>0</v>
      </c>
    </row>
    <row r="69" spans="1:12" x14ac:dyDescent="0.25">
      <c r="B69" s="147" t="s">
        <v>386</v>
      </c>
      <c r="D69" s="249">
        <f>'Aircraft Calc'!H191</f>
        <v>0</v>
      </c>
      <c r="F69" s="149">
        <f t="shared" si="1"/>
        <v>0</v>
      </c>
      <c r="G69" s="149">
        <f t="shared" si="1"/>
        <v>0</v>
      </c>
      <c r="H69" s="149">
        <f t="shared" si="1"/>
        <v>0</v>
      </c>
      <c r="I69" s="149">
        <f t="shared" si="1"/>
        <v>0</v>
      </c>
      <c r="J69" s="146">
        <f t="shared" si="1"/>
        <v>0</v>
      </c>
      <c r="K69" s="149">
        <f t="shared" si="1"/>
        <v>0</v>
      </c>
      <c r="L69" s="293">
        <f t="shared" si="1"/>
        <v>0</v>
      </c>
    </row>
    <row r="70" spans="1:12" x14ac:dyDescent="0.25">
      <c r="B70" s="147" t="s">
        <v>385</v>
      </c>
      <c r="D70" s="249">
        <f>'Aircraft Calc'!H192</f>
        <v>0</v>
      </c>
      <c r="F70" s="149">
        <f t="shared" si="1"/>
        <v>0</v>
      </c>
      <c r="G70" s="149">
        <f t="shared" si="1"/>
        <v>0</v>
      </c>
      <c r="H70" s="149">
        <f t="shared" si="1"/>
        <v>0</v>
      </c>
      <c r="I70" s="149">
        <f t="shared" si="1"/>
        <v>0</v>
      </c>
      <c r="J70" s="146">
        <f t="shared" si="1"/>
        <v>0</v>
      </c>
      <c r="K70" s="149">
        <f t="shared" si="1"/>
        <v>0</v>
      </c>
      <c r="L70" s="293">
        <f t="shared" si="1"/>
        <v>0</v>
      </c>
    </row>
    <row r="71" spans="1:12" x14ac:dyDescent="0.25">
      <c r="B71" s="147" t="s">
        <v>582</v>
      </c>
      <c r="D71" s="249">
        <f>'Aircraft Calc'!H193</f>
        <v>0</v>
      </c>
      <c r="F71" s="149">
        <f t="shared" si="1"/>
        <v>0</v>
      </c>
      <c r="G71" s="149">
        <f t="shared" si="1"/>
        <v>0</v>
      </c>
      <c r="H71" s="149">
        <f t="shared" si="1"/>
        <v>0</v>
      </c>
      <c r="I71" s="149">
        <f t="shared" si="1"/>
        <v>0</v>
      </c>
      <c r="J71" s="146">
        <f t="shared" si="1"/>
        <v>0</v>
      </c>
      <c r="K71" s="149">
        <f t="shared" si="1"/>
        <v>0</v>
      </c>
      <c r="L71" s="293">
        <f t="shared" si="1"/>
        <v>0</v>
      </c>
    </row>
    <row r="72" spans="1:12" x14ac:dyDescent="0.25">
      <c r="B72" s="147" t="s">
        <v>583</v>
      </c>
      <c r="D72" s="249">
        <f>'Aircraft Calc'!H194</f>
        <v>0</v>
      </c>
      <c r="F72" s="149">
        <f t="shared" si="1"/>
        <v>0</v>
      </c>
      <c r="G72" s="149">
        <f t="shared" si="1"/>
        <v>0</v>
      </c>
      <c r="H72" s="149">
        <f t="shared" si="1"/>
        <v>0</v>
      </c>
      <c r="I72" s="149">
        <f t="shared" si="1"/>
        <v>0</v>
      </c>
      <c r="J72" s="146">
        <f t="shared" si="1"/>
        <v>0</v>
      </c>
      <c r="K72" s="149">
        <f t="shared" si="1"/>
        <v>0</v>
      </c>
      <c r="L72" s="293">
        <f t="shared" si="1"/>
        <v>0</v>
      </c>
    </row>
    <row r="73" spans="1:12" s="101" customFormat="1" x14ac:dyDescent="0.25">
      <c r="B73" s="101" t="s">
        <v>167</v>
      </c>
      <c r="D73" s="263" t="s">
        <v>3395</v>
      </c>
      <c r="F73" s="150">
        <f>SUM(F64:F72)</f>
        <v>0</v>
      </c>
      <c r="G73" s="150">
        <f t="shared" ref="G73:I73" si="2">SUM(G64:G72)</f>
        <v>0</v>
      </c>
      <c r="H73" s="150">
        <f t="shared" si="2"/>
        <v>0</v>
      </c>
      <c r="I73" s="150">
        <f t="shared" si="2"/>
        <v>0</v>
      </c>
      <c r="J73" s="181">
        <f>SUM(J64:J72)</f>
        <v>0</v>
      </c>
      <c r="K73" s="150">
        <f>SUM(K64:K72)</f>
        <v>0</v>
      </c>
      <c r="L73" s="294">
        <f>SUM(L64:L72)</f>
        <v>0</v>
      </c>
    </row>
    <row r="75" spans="1:12" x14ac:dyDescent="0.25">
      <c r="A75" s="73" t="s">
        <v>3452</v>
      </c>
      <c r="B75" s="73"/>
      <c r="C75" s="237" t="s">
        <v>3421</v>
      </c>
    </row>
    <row r="76" spans="1:12" ht="4.5" customHeight="1" x14ac:dyDescent="0.25"/>
    <row r="77" spans="1:12" x14ac:dyDescent="0.25">
      <c r="B77" s="310" t="s">
        <v>3451</v>
      </c>
      <c r="C77" s="314" t="s">
        <v>3456</v>
      </c>
      <c r="D77" s="315" t="s">
        <v>11</v>
      </c>
      <c r="E77" s="312"/>
      <c r="F77" s="312"/>
      <c r="G77" s="312"/>
      <c r="H77" s="312"/>
      <c r="I77" s="312" t="s">
        <v>546</v>
      </c>
      <c r="J77" s="312"/>
      <c r="K77" s="312"/>
      <c r="L77" s="312"/>
    </row>
    <row r="78" spans="1:12" x14ac:dyDescent="0.25">
      <c r="B78" s="100" t="s">
        <v>383</v>
      </c>
      <c r="C78" s="385">
        <f>'Aircraft Calc'!H186/2</f>
        <v>0</v>
      </c>
      <c r="D78" s="264" t="s">
        <v>549</v>
      </c>
      <c r="E78" s="111"/>
      <c r="F78" s="111"/>
      <c r="G78" s="111"/>
      <c r="H78" s="111"/>
      <c r="I78" s="111">
        <v>0.154</v>
      </c>
      <c r="J78" s="111"/>
      <c r="L78" s="111"/>
    </row>
    <row r="79" spans="1:12" x14ac:dyDescent="0.25">
      <c r="B79" s="100" t="s">
        <v>393</v>
      </c>
      <c r="C79" s="385">
        <f>'Aircraft Calc'!H187/2</f>
        <v>0</v>
      </c>
      <c r="D79" s="264" t="s">
        <v>549</v>
      </c>
      <c r="E79" s="111"/>
      <c r="F79" s="111"/>
      <c r="G79" s="111"/>
      <c r="H79" s="111"/>
      <c r="I79" s="111">
        <v>9.9000000000000005E-2</v>
      </c>
      <c r="J79" s="111"/>
      <c r="L79" s="111"/>
    </row>
    <row r="80" spans="1:12" x14ac:dyDescent="0.25">
      <c r="B80" s="100" t="s">
        <v>394</v>
      </c>
      <c r="C80" s="385">
        <f>'Aircraft Calc'!H188/2</f>
        <v>0</v>
      </c>
      <c r="D80" s="264" t="s">
        <v>549</v>
      </c>
      <c r="E80" s="111"/>
      <c r="F80" s="111"/>
      <c r="G80" s="111"/>
      <c r="H80" s="111"/>
      <c r="I80" s="111">
        <v>2.7E-2</v>
      </c>
      <c r="J80" s="111"/>
      <c r="L80" s="111"/>
    </row>
    <row r="81" spans="1:18" x14ac:dyDescent="0.25">
      <c r="B81" s="100" t="s">
        <v>395</v>
      </c>
      <c r="C81" s="385">
        <f>'Aircraft Calc'!H189/2</f>
        <v>0</v>
      </c>
      <c r="D81" s="264" t="s">
        <v>549</v>
      </c>
      <c r="E81" s="111"/>
      <c r="F81" s="111"/>
      <c r="G81" s="111"/>
      <c r="H81" s="111"/>
      <c r="I81" s="111">
        <v>1.2E-2</v>
      </c>
      <c r="J81" s="111"/>
      <c r="L81" s="111"/>
    </row>
    <row r="82" spans="1:18" x14ac:dyDescent="0.25">
      <c r="B82" s="100" t="s">
        <v>396</v>
      </c>
      <c r="C82" s="385">
        <f>'Aircraft Calc'!H190/2</f>
        <v>0</v>
      </c>
      <c r="D82" s="264" t="s">
        <v>549</v>
      </c>
      <c r="E82" s="111"/>
      <c r="F82" s="111"/>
      <c r="G82" s="111"/>
      <c r="H82" s="111"/>
      <c r="I82" s="111">
        <v>0</v>
      </c>
      <c r="J82" s="111"/>
      <c r="L82" s="111"/>
    </row>
    <row r="83" spans="1:18" x14ac:dyDescent="0.25">
      <c r="B83" s="100" t="s">
        <v>386</v>
      </c>
      <c r="C83" s="385">
        <f>'Aircraft Calc'!H191/2</f>
        <v>0</v>
      </c>
      <c r="D83" s="264" t="s">
        <v>549</v>
      </c>
      <c r="E83" s="111"/>
      <c r="F83" s="111"/>
      <c r="G83" s="111"/>
      <c r="H83" s="111"/>
      <c r="I83" s="111">
        <v>0</v>
      </c>
      <c r="J83" s="111"/>
      <c r="L83" s="111"/>
    </row>
    <row r="84" spans="1:18" s="101" customFormat="1" x14ac:dyDescent="0.25">
      <c r="B84" s="101" t="s">
        <v>167</v>
      </c>
      <c r="C84" s="296">
        <f>SUM(C78:C83)</f>
        <v>0</v>
      </c>
      <c r="D84" s="263" t="s">
        <v>3395</v>
      </c>
      <c r="E84" s="143"/>
      <c r="F84" s="143"/>
      <c r="G84" s="143"/>
      <c r="H84" s="143"/>
      <c r="I84" s="139">
        <f>SUMPRODUCT($C78:$C83,I78:I83)</f>
        <v>0</v>
      </c>
      <c r="J84" s="386"/>
      <c r="K84" s="143"/>
      <c r="L84" s="143"/>
      <c r="P84" s="100"/>
      <c r="Q84" s="100"/>
      <c r="R84" s="100"/>
    </row>
    <row r="85" spans="1:18" ht="6.75" customHeight="1" x14ac:dyDescent="0.25"/>
    <row r="86" spans="1:18" x14ac:dyDescent="0.25">
      <c r="A86" s="73" t="s">
        <v>542</v>
      </c>
      <c r="B86" s="73"/>
      <c r="C86" s="237" t="s">
        <v>3421</v>
      </c>
    </row>
    <row r="87" spans="1:18" ht="4.5" customHeight="1" x14ac:dyDescent="0.25"/>
    <row r="88" spans="1:18" ht="15.6" x14ac:dyDescent="0.25">
      <c r="B88" s="310" t="s">
        <v>3605</v>
      </c>
      <c r="C88" s="314" t="s">
        <v>3365</v>
      </c>
      <c r="D88" s="315" t="s">
        <v>11</v>
      </c>
      <c r="E88" s="312" t="s">
        <v>543</v>
      </c>
      <c r="F88" s="445" t="s">
        <v>3521</v>
      </c>
      <c r="G88" s="312" t="s">
        <v>544</v>
      </c>
      <c r="H88" s="312" t="s">
        <v>545</v>
      </c>
      <c r="I88" s="312" t="s">
        <v>546</v>
      </c>
      <c r="J88" s="312" t="s">
        <v>572</v>
      </c>
      <c r="K88" s="312" t="s">
        <v>512</v>
      </c>
      <c r="L88" s="312" t="s">
        <v>548</v>
      </c>
    </row>
    <row r="89" spans="1:18" x14ac:dyDescent="0.25">
      <c r="B89" s="100" t="s">
        <v>383</v>
      </c>
      <c r="C89" s="295">
        <f>'Aircraft Calc'!H186*(ALECA_Input!D$158+ALECA_Input!E$158+ALECA_Input!F$158+ALECA_Input!G$158+ALECA_Input!H$158+ALECA_Input!I$158+ALECA_Input!J$158+ALECA_Input!K$158+ALECA_Input!L$158)/12/2</f>
        <v>0</v>
      </c>
      <c r="D89" s="264" t="s">
        <v>549</v>
      </c>
      <c r="E89" s="111">
        <v>17.247</v>
      </c>
      <c r="F89" s="111">
        <v>0.72699999999999998</v>
      </c>
      <c r="G89" s="111">
        <v>0.111</v>
      </c>
      <c r="H89" s="111">
        <v>0.23599999999999999</v>
      </c>
      <c r="I89" s="111">
        <v>2.9000000000000001E-2</v>
      </c>
      <c r="J89" s="111">
        <v>1.18E+16</v>
      </c>
      <c r="K89" s="100">
        <f t="shared" ref="K89:K94" si="3">E89*0.00002</f>
        <v>3.4494000000000001E-4</v>
      </c>
      <c r="L89" s="111">
        <v>947.6</v>
      </c>
    </row>
    <row r="90" spans="1:18" x14ac:dyDescent="0.25">
      <c r="B90" s="100" t="s">
        <v>393</v>
      </c>
      <c r="C90" s="295">
        <f>'Aircraft Calc'!H187*(ALECA_Input!D$158+ALECA_Input!E$158+ALECA_Input!F$158+ALECA_Input!G$158+ALECA_Input!H$158+ALECA_Input!I$158+ALECA_Input!J$158+ALECA_Input!K$158+ALECA_Input!L$158)/12/2</f>
        <v>0</v>
      </c>
      <c r="D90" s="264" t="s">
        <v>549</v>
      </c>
      <c r="E90" s="111">
        <v>11.759</v>
      </c>
      <c r="F90" s="111">
        <v>0.496</v>
      </c>
      <c r="G90" s="111">
        <v>7.5999999999999998E-2</v>
      </c>
      <c r="H90" s="111">
        <v>0.161</v>
      </c>
      <c r="I90" s="111">
        <v>0.02</v>
      </c>
      <c r="J90" s="111">
        <v>8020000000000000</v>
      </c>
      <c r="K90" s="100">
        <f t="shared" si="3"/>
        <v>2.3518000000000004E-4</v>
      </c>
      <c r="L90" s="111">
        <v>646.1</v>
      </c>
    </row>
    <row r="91" spans="1:18" x14ac:dyDescent="0.25">
      <c r="B91" s="100" t="s">
        <v>394</v>
      </c>
      <c r="C91" s="295">
        <f>'Aircraft Calc'!H188*(ALECA_Input!D$158+ALECA_Input!E$158+ALECA_Input!F$158+ALECA_Input!G$158+ALECA_Input!H$158+ALECA_Input!I$158+ALECA_Input!J$158+ALECA_Input!K$158+ALECA_Input!L$158)/12/2</f>
        <v>0</v>
      </c>
      <c r="D91" s="264" t="s">
        <v>549</v>
      </c>
      <c r="E91" s="111">
        <v>7.8390000000000004</v>
      </c>
      <c r="F91" s="111">
        <v>0.33100000000000002</v>
      </c>
      <c r="G91" s="111">
        <v>0.05</v>
      </c>
      <c r="H91" s="111">
        <v>0.107</v>
      </c>
      <c r="I91" s="111">
        <v>1.2999999999999999E-2</v>
      </c>
      <c r="J91" s="111">
        <v>5350000000000000</v>
      </c>
      <c r="K91" s="100">
        <f t="shared" si="3"/>
        <v>1.5678000000000003E-4</v>
      </c>
      <c r="L91" s="111">
        <v>430.7</v>
      </c>
    </row>
    <row r="92" spans="1:18" x14ac:dyDescent="0.25">
      <c r="B92" s="100" t="s">
        <v>395</v>
      </c>
      <c r="C92" s="295">
        <f>'Aircraft Calc'!H189*(ALECA_Input!D$158+ALECA_Input!E$158+ALECA_Input!F$158+ALECA_Input!G$158+ALECA_Input!H$158+ALECA_Input!I$158+ALECA_Input!J$158+ALECA_Input!K$158+ALECA_Input!L$158)/12/2</f>
        <v>0</v>
      </c>
      <c r="D92" s="264" t="s">
        <v>549</v>
      </c>
      <c r="E92" s="111">
        <v>7.8390000000000004</v>
      </c>
      <c r="F92" s="111">
        <v>0.33100000000000002</v>
      </c>
      <c r="G92" s="111">
        <v>0.05</v>
      </c>
      <c r="H92" s="111">
        <v>0.107</v>
      </c>
      <c r="I92" s="111">
        <v>1.2999999999999999E-2</v>
      </c>
      <c r="J92" s="111">
        <v>5350000000000000</v>
      </c>
      <c r="K92" s="100">
        <f t="shared" si="3"/>
        <v>1.5678000000000003E-4</v>
      </c>
      <c r="L92" s="111">
        <v>430.7</v>
      </c>
    </row>
    <row r="93" spans="1:18" x14ac:dyDescent="0.25">
      <c r="B93" s="100" t="s">
        <v>396</v>
      </c>
      <c r="C93" s="295">
        <f>'Aircraft Calc'!H190*(ALECA_Input!D$158+ALECA_Input!E$158+ALECA_Input!F$158+ALECA_Input!G$158+ALECA_Input!H$158+ALECA_Input!I$158+ALECA_Input!J$158+ALECA_Input!K$158+ALECA_Input!L$158)/12/2</f>
        <v>0</v>
      </c>
      <c r="D93" s="264" t="s">
        <v>549</v>
      </c>
      <c r="E93" s="111">
        <v>5.4880000000000004</v>
      </c>
      <c r="F93" s="111">
        <v>0.23100000000000001</v>
      </c>
      <c r="G93" s="111">
        <v>3.5000000000000003E-2</v>
      </c>
      <c r="H93" s="111">
        <v>7.4999999999999997E-2</v>
      </c>
      <c r="I93" s="111">
        <v>8.9999999999999993E-3</v>
      </c>
      <c r="J93" s="111">
        <v>3740000000000000</v>
      </c>
      <c r="K93" s="100">
        <f t="shared" si="3"/>
        <v>1.0976000000000002E-4</v>
      </c>
      <c r="L93" s="111">
        <v>301.5</v>
      </c>
    </row>
    <row r="94" spans="1:18" x14ac:dyDescent="0.25">
      <c r="B94" s="100" t="s">
        <v>386</v>
      </c>
      <c r="C94" s="295">
        <f>'Aircraft Calc'!H191*(ALECA_Input!D$158+ALECA_Input!E$158+ALECA_Input!F$158+ALECA_Input!G$158+ALECA_Input!H$158+ALECA_Input!I$158+ALECA_Input!J$158+ALECA_Input!K$158+ALECA_Input!L$158)/12/2</f>
        <v>0</v>
      </c>
      <c r="D94" s="264" t="s">
        <v>549</v>
      </c>
      <c r="E94" s="111">
        <v>5.4880000000000004</v>
      </c>
      <c r="F94" s="111">
        <v>0.23100000000000001</v>
      </c>
      <c r="G94" s="111">
        <v>3.5000000000000003E-2</v>
      </c>
      <c r="H94" s="111">
        <v>7.4999999999999997E-2</v>
      </c>
      <c r="I94" s="111">
        <v>8.9999999999999993E-3</v>
      </c>
      <c r="J94" s="111">
        <v>3740000000000000</v>
      </c>
      <c r="K94" s="100">
        <f t="shared" si="3"/>
        <v>1.0976000000000002E-4</v>
      </c>
      <c r="L94" s="111">
        <v>301.5</v>
      </c>
    </row>
    <row r="95" spans="1:18" s="101" customFormat="1" x14ac:dyDescent="0.25">
      <c r="B95" s="101" t="s">
        <v>167</v>
      </c>
      <c r="C95" s="296">
        <f>SUM(C89:C94)</f>
        <v>0</v>
      </c>
      <c r="D95" s="263" t="s">
        <v>3395</v>
      </c>
      <c r="E95" s="143">
        <f>SUMPRODUCT($C89:$C94,E89:E94)</f>
        <v>0</v>
      </c>
      <c r="F95" s="139">
        <f>SUMPRODUCT($C89:$C94,F89:F94)</f>
        <v>0</v>
      </c>
      <c r="G95" s="139">
        <f t="shared" ref="G95:J95" si="4">SUMPRODUCT($C89:$C94,G89:G94)</f>
        <v>0</v>
      </c>
      <c r="H95" s="139">
        <f t="shared" si="4"/>
        <v>0</v>
      </c>
      <c r="I95" s="139">
        <f t="shared" si="4"/>
        <v>0</v>
      </c>
      <c r="J95" s="250">
        <f t="shared" si="4"/>
        <v>0</v>
      </c>
      <c r="K95" s="139">
        <f>SUMPRODUCT($C89:$C94,K89:K94)</f>
        <v>0</v>
      </c>
      <c r="L95" s="139">
        <f>SUMPRODUCT($C89:$C94,L89:L94)</f>
        <v>0</v>
      </c>
      <c r="P95" s="100"/>
      <c r="Q95" s="100"/>
      <c r="R95" s="100"/>
    </row>
    <row r="96" spans="1:18" ht="6.75" customHeight="1" x14ac:dyDescent="0.25"/>
    <row r="97" spans="1:18" x14ac:dyDescent="0.25">
      <c r="C97" s="237" t="s">
        <v>3420</v>
      </c>
      <c r="D97" s="105"/>
    </row>
    <row r="98" spans="1:18" ht="15.6" x14ac:dyDescent="0.25">
      <c r="B98" s="310" t="s">
        <v>3607</v>
      </c>
      <c r="C98" s="314" t="s">
        <v>3609</v>
      </c>
      <c r="D98" s="312" t="s">
        <v>3608</v>
      </c>
      <c r="E98" s="315" t="s">
        <v>11</v>
      </c>
      <c r="F98" s="445" t="s">
        <v>3521</v>
      </c>
      <c r="G98" s="312" t="s">
        <v>544</v>
      </c>
      <c r="H98" s="312" t="s">
        <v>545</v>
      </c>
      <c r="I98" s="312" t="s">
        <v>546</v>
      </c>
      <c r="J98" s="312" t="s">
        <v>572</v>
      </c>
      <c r="K98" s="312" t="s">
        <v>512</v>
      </c>
      <c r="L98" s="312" t="s">
        <v>548</v>
      </c>
    </row>
    <row r="99" spans="1:18" x14ac:dyDescent="0.25">
      <c r="B99" s="100" t="s">
        <v>383</v>
      </c>
      <c r="C99" s="295">
        <f>C89*(1-ALECA_Input!D161)</f>
        <v>0</v>
      </c>
      <c r="D99" s="265">
        <f>IF(ALECA_Input!F$163="No",'Rest Calc'!D112,0)</f>
        <v>0</v>
      </c>
      <c r="E99" s="264" t="s">
        <v>3366</v>
      </c>
      <c r="F99" s="119">
        <f t="shared" ref="F99:L102" si="5">F147</f>
        <v>118.33200000000001</v>
      </c>
      <c r="G99" s="119">
        <f t="shared" si="5"/>
        <v>96.672000000000011</v>
      </c>
      <c r="H99" s="119">
        <f t="shared" si="5"/>
        <v>891.70799999999997</v>
      </c>
      <c r="I99" s="119">
        <f t="shared" si="5"/>
        <v>1.8864236177539133</v>
      </c>
      <c r="J99" s="298">
        <f t="shared" si="5"/>
        <v>8762920641925158</v>
      </c>
      <c r="K99" s="149">
        <f t="shared" si="5"/>
        <v>11.4</v>
      </c>
      <c r="L99" s="292">
        <f t="shared" si="5"/>
        <v>72048</v>
      </c>
    </row>
    <row r="100" spans="1:18" x14ac:dyDescent="0.25">
      <c r="B100" s="100" t="s">
        <v>393</v>
      </c>
      <c r="C100" s="295">
        <f>C90*(1-ALECA_Input!F161)</f>
        <v>0</v>
      </c>
      <c r="D100" s="265">
        <f>IF(ALECA_Input!F$163="No",'Rest Calc'!D113,0)</f>
        <v>0</v>
      </c>
      <c r="E100" s="264" t="s">
        <v>3366</v>
      </c>
      <c r="F100" s="119">
        <f t="shared" si="5"/>
        <v>75.492000000000019</v>
      </c>
      <c r="G100" s="119">
        <f t="shared" si="5"/>
        <v>39.852000000000004</v>
      </c>
      <c r="H100" s="119">
        <f t="shared" si="5"/>
        <v>388.31400000000002</v>
      </c>
      <c r="I100" s="119">
        <f t="shared" si="5"/>
        <v>1.4192461923503512</v>
      </c>
      <c r="J100" s="298">
        <f t="shared" si="5"/>
        <v>1.9184308133144856E+16</v>
      </c>
      <c r="K100" s="149">
        <f t="shared" si="5"/>
        <v>8.1000000000000014</v>
      </c>
      <c r="L100" s="292">
        <f t="shared" si="5"/>
        <v>49410.000000000007</v>
      </c>
    </row>
    <row r="101" spans="1:18" x14ac:dyDescent="0.25">
      <c r="B101" s="100" t="s">
        <v>394</v>
      </c>
      <c r="C101" s="295">
        <f>C91*(1-ALECA_Input!H161)</f>
        <v>0</v>
      </c>
      <c r="D101" s="265">
        <f>IF(ALECA_Input!F$163="No",'Rest Calc'!D114,0)</f>
        <v>0</v>
      </c>
      <c r="E101" s="264" t="s">
        <v>3366</v>
      </c>
      <c r="F101" s="119">
        <f t="shared" si="5"/>
        <v>25.826399999999996</v>
      </c>
      <c r="G101" s="119">
        <f t="shared" si="5"/>
        <v>11.750399999999997</v>
      </c>
      <c r="H101" s="119">
        <f t="shared" si="5"/>
        <v>196.26839999999999</v>
      </c>
      <c r="I101" s="119">
        <f t="shared" si="5"/>
        <v>0.50379959400829011</v>
      </c>
      <c r="J101" s="298">
        <f t="shared" si="5"/>
        <v>6643456269591406</v>
      </c>
      <c r="K101" s="149">
        <f t="shared" si="5"/>
        <v>3.0599999999999996</v>
      </c>
      <c r="L101" s="292">
        <f t="shared" si="5"/>
        <v>0</v>
      </c>
    </row>
    <row r="102" spans="1:18" x14ac:dyDescent="0.25">
      <c r="B102" s="100" t="s">
        <v>395</v>
      </c>
      <c r="C102" s="295">
        <f>C92*(1-ALECA_Input!J161)</f>
        <v>0</v>
      </c>
      <c r="D102" s="265">
        <f>IF(ALECA_Input!F$163="No",'Rest Calc'!D115,0)</f>
        <v>0</v>
      </c>
      <c r="E102" s="264" t="s">
        <v>3366</v>
      </c>
      <c r="F102" s="119">
        <f t="shared" si="5"/>
        <v>17.663999999999998</v>
      </c>
      <c r="G102" s="119">
        <f t="shared" si="5"/>
        <v>0.49919999999999998</v>
      </c>
      <c r="H102" s="119">
        <f t="shared" si="5"/>
        <v>70.08</v>
      </c>
      <c r="I102" s="119">
        <f t="shared" si="5"/>
        <v>0.20406335717213192</v>
      </c>
      <c r="J102" s="298">
        <f t="shared" si="5"/>
        <v>654781438828353.88</v>
      </c>
      <c r="K102" s="149">
        <f t="shared" si="5"/>
        <v>1.92</v>
      </c>
      <c r="L102" s="292">
        <f t="shared" si="5"/>
        <v>0</v>
      </c>
    </row>
    <row r="103" spans="1:18" x14ac:dyDescent="0.25">
      <c r="B103" s="100" t="s">
        <v>396</v>
      </c>
      <c r="C103" s="295">
        <f>C93*(1-ALECA_Input!J161)</f>
        <v>0</v>
      </c>
      <c r="D103" s="265">
        <f>IF(ALECA_Input!F$163="No",'Rest Calc'!D116,0)</f>
        <v>0</v>
      </c>
      <c r="E103" s="264" t="s">
        <v>3366</v>
      </c>
      <c r="F103" s="119">
        <f t="shared" ref="F103:L104" si="6">F150</f>
        <v>17.663999999999998</v>
      </c>
      <c r="G103" s="119">
        <f t="shared" si="6"/>
        <v>0.49919999999999998</v>
      </c>
      <c r="H103" s="119">
        <f t="shared" si="6"/>
        <v>70.08</v>
      </c>
      <c r="I103" s="119">
        <f t="shared" si="6"/>
        <v>0.20406335717213192</v>
      </c>
      <c r="J103" s="298">
        <f t="shared" si="6"/>
        <v>654781438828353.88</v>
      </c>
      <c r="K103" s="149">
        <f t="shared" si="6"/>
        <v>1.92</v>
      </c>
      <c r="L103" s="292">
        <f t="shared" si="6"/>
        <v>0</v>
      </c>
    </row>
    <row r="104" spans="1:18" x14ac:dyDescent="0.25">
      <c r="B104" s="100" t="s">
        <v>386</v>
      </c>
      <c r="C104" s="295">
        <f>C94*(1-ALECA_Input!L161)</f>
        <v>0</v>
      </c>
      <c r="D104" s="265">
        <f>IF(ALECA_Input!F$163="No",'Rest Calc'!D117,0)</f>
        <v>0</v>
      </c>
      <c r="E104" s="264" t="s">
        <v>3366</v>
      </c>
      <c r="F104" s="119">
        <f t="shared" si="6"/>
        <v>1.5274285714285769</v>
      </c>
      <c r="G104" s="119">
        <f t="shared" si="6"/>
        <v>12.312551347005261</v>
      </c>
      <c r="H104" s="119">
        <f t="shared" si="6"/>
        <v>54.229924523949201</v>
      </c>
      <c r="I104" s="119">
        <f t="shared" si="6"/>
        <v>0.23360695082575722</v>
      </c>
      <c r="J104" s="298">
        <f t="shared" si="6"/>
        <v>6971614194389966</v>
      </c>
      <c r="K104" s="149">
        <f t="shared" si="6"/>
        <v>0.35351298218230803</v>
      </c>
      <c r="L104" s="292">
        <f t="shared" si="6"/>
        <v>0</v>
      </c>
    </row>
    <row r="105" spans="1:18" x14ac:dyDescent="0.25">
      <c r="B105" s="101" t="s">
        <v>167</v>
      </c>
      <c r="C105" s="101" t="s">
        <v>2960</v>
      </c>
      <c r="D105" s="249"/>
      <c r="E105" s="263" t="s">
        <v>3395</v>
      </c>
      <c r="F105" s="471">
        <f>SUMPRODUCT($C99:$C104,$D99:$D104,F99:F104)/1000</f>
        <v>0</v>
      </c>
      <c r="G105" s="471">
        <f t="shared" ref="G105:L105" si="7">SUMPRODUCT($C99:$C104,$D99:$D104,G99:G104)/1000</f>
        <v>0</v>
      </c>
      <c r="H105" s="471">
        <f t="shared" si="7"/>
        <v>0</v>
      </c>
      <c r="I105" s="471">
        <f t="shared" si="7"/>
        <v>0</v>
      </c>
      <c r="J105" s="472">
        <f t="shared" si="7"/>
        <v>0</v>
      </c>
      <c r="K105" s="471">
        <f t="shared" si="7"/>
        <v>0</v>
      </c>
      <c r="L105" s="471">
        <f t="shared" si="7"/>
        <v>0</v>
      </c>
    </row>
    <row r="106" spans="1:18" s="101" customFormat="1" x14ac:dyDescent="0.25">
      <c r="C106" s="101" t="s">
        <v>2961</v>
      </c>
      <c r="E106" s="263" t="s">
        <v>3395</v>
      </c>
      <c r="F106" s="139">
        <f>F105+(F105*'Aircraft Calc'!I200*('Aircraft Calc'!I201-1))</f>
        <v>0</v>
      </c>
      <c r="G106" s="139">
        <f>G105+(G105*'Aircraft Calc'!J200*('Aircraft Calc'!J201-1))</f>
        <v>0</v>
      </c>
      <c r="H106" s="139">
        <f>H105+(H105*'Aircraft Calc'!K200*('Aircraft Calc'!K201-1))</f>
        <v>0</v>
      </c>
      <c r="I106" s="139">
        <f>I105+(I105*'Aircraft Calc'!L200*('Aircraft Calc'!L201-1))</f>
        <v>0</v>
      </c>
      <c r="J106" s="230">
        <f>J105+(J105*'Aircraft Calc'!M200*('Aircraft Calc'!M201-1))</f>
        <v>0</v>
      </c>
      <c r="K106" s="139">
        <f>K105+(K105*'Aircraft Calc'!N200*('Aircraft Calc'!N201-1))</f>
        <v>0</v>
      </c>
      <c r="L106" s="139">
        <f>L105+(L105*'Aircraft Calc'!O200*('Aircraft Calc'!O201-1))</f>
        <v>0</v>
      </c>
      <c r="P106" s="100"/>
      <c r="Q106" s="100"/>
      <c r="R106" s="100"/>
    </row>
    <row r="107" spans="1:18" s="101" customFormat="1" x14ac:dyDescent="0.25">
      <c r="C107" s="101" t="s">
        <v>3538</v>
      </c>
      <c r="E107" s="463" t="s">
        <v>3539</v>
      </c>
      <c r="F107" s="553">
        <f>(F105-F106)/1000</f>
        <v>0</v>
      </c>
      <c r="G107" s="464">
        <f t="shared" ref="G107:I107" si="8">(G105-G106)/1000</f>
        <v>0</v>
      </c>
      <c r="H107" s="464">
        <f t="shared" si="8"/>
        <v>0</v>
      </c>
      <c r="I107" s="464">
        <f t="shared" si="8"/>
        <v>0</v>
      </c>
      <c r="J107" s="230">
        <f>J105-J106</f>
        <v>0</v>
      </c>
      <c r="K107" s="464">
        <f t="shared" ref="K107" si="9">(K105-K106)/1000</f>
        <v>0</v>
      </c>
      <c r="L107" s="464">
        <f t="shared" ref="L107" si="10">(L105-L106)/1000</f>
        <v>0</v>
      </c>
      <c r="P107" s="100"/>
      <c r="Q107" s="100"/>
      <c r="R107" s="100"/>
    </row>
    <row r="108" spans="1:18" x14ac:dyDescent="0.25">
      <c r="B108" s="101" t="s">
        <v>3427</v>
      </c>
      <c r="C108" s="126" t="s">
        <v>3428</v>
      </c>
      <c r="D108" s="348">
        <f>SUMPRODUCT(C89:C94,D99:D104)</f>
        <v>0</v>
      </c>
      <c r="F108" s="100" t="s">
        <v>3430</v>
      </c>
      <c r="I108" s="337" t="e">
        <f>D108/'Aircraft Calc'!C194</f>
        <v>#DIV/0!</v>
      </c>
    </row>
    <row r="109" spans="1:18" x14ac:dyDescent="0.25">
      <c r="A109" s="334"/>
      <c r="B109" s="335"/>
    </row>
    <row r="110" spans="1:18" x14ac:dyDescent="0.25">
      <c r="C110" s="237" t="s">
        <v>3601</v>
      </c>
      <c r="D110" s="105"/>
    </row>
    <row r="111" spans="1:18" ht="15.6" x14ac:dyDescent="0.25">
      <c r="B111" s="310" t="s">
        <v>3606</v>
      </c>
      <c r="C111" s="314" t="s">
        <v>3365</v>
      </c>
      <c r="D111" s="312" t="s">
        <v>3608</v>
      </c>
      <c r="E111" s="315" t="s">
        <v>11</v>
      </c>
      <c r="F111" s="445" t="s">
        <v>3521</v>
      </c>
      <c r="G111" s="312" t="s">
        <v>544</v>
      </c>
      <c r="H111" s="312" t="s">
        <v>545</v>
      </c>
      <c r="I111" s="312" t="s">
        <v>546</v>
      </c>
      <c r="J111" s="312" t="s">
        <v>572</v>
      </c>
      <c r="K111" s="312" t="s">
        <v>512</v>
      </c>
      <c r="L111" s="312" t="s">
        <v>548</v>
      </c>
    </row>
    <row r="112" spans="1:18" x14ac:dyDescent="0.25">
      <c r="B112" s="100" t="s">
        <v>383</v>
      </c>
      <c r="C112" s="551">
        <f>C89*ALECA_Input!D161</f>
        <v>0</v>
      </c>
      <c r="D112" s="265">
        <v>22</v>
      </c>
      <c r="E112" s="264" t="s">
        <v>517</v>
      </c>
      <c r="F112" s="119">
        <f>'Aircraft Calc'!T224</f>
        <v>2.9550000000000001</v>
      </c>
      <c r="G112" s="119">
        <f>'Aircraft Calc'!W224</f>
        <v>3.1E-2</v>
      </c>
      <c r="H112" s="119">
        <f>'Aircraft Calc'!Z224</f>
        <v>0.152</v>
      </c>
      <c r="I112" s="119">
        <f>'Aircraft Calc'!AC224</f>
        <v>0.01</v>
      </c>
      <c r="J112" s="298">
        <f>'Aircraft Calc'!AF224</f>
        <v>7.24E+16</v>
      </c>
      <c r="K112" s="149">
        <f>'Aircraft Calc'!Q224*D$16</f>
        <v>1.1900000000000001E-2</v>
      </c>
      <c r="L112" s="292">
        <f>'Aircraft Calc'!Q224*B$16</f>
        <v>752.08</v>
      </c>
    </row>
    <row r="113" spans="1:18" x14ac:dyDescent="0.25">
      <c r="B113" s="100" t="s">
        <v>393</v>
      </c>
      <c r="C113" s="551">
        <f>C90*ALECA_Input!F161</f>
        <v>0</v>
      </c>
      <c r="D113" s="265">
        <v>19</v>
      </c>
      <c r="E113" s="264" t="s">
        <v>517</v>
      </c>
      <c r="F113" s="119">
        <f>'Aircraft Calc'!T225</f>
        <v>1.556</v>
      </c>
      <c r="G113" s="119">
        <f>'Aircraft Calc'!W225</f>
        <v>1.7999999999999999E-2</v>
      </c>
      <c r="H113" s="119">
        <f>'Aircraft Calc'!Z225</f>
        <v>0.23</v>
      </c>
      <c r="I113" s="119">
        <f>'Aircraft Calc'!AC225</f>
        <v>5.5E-2</v>
      </c>
      <c r="J113" s="298">
        <f>'Aircraft Calc'!AF225</f>
        <v>3.93E+17</v>
      </c>
      <c r="K113" s="149">
        <f>'Aircraft Calc'!Q225*D$16</f>
        <v>8.2000000000000007E-3</v>
      </c>
      <c r="L113" s="292">
        <f>'Aircraft Calc'!Q225*B$16</f>
        <v>518.24</v>
      </c>
    </row>
    <row r="114" spans="1:18" x14ac:dyDescent="0.25">
      <c r="B114" s="100" t="s">
        <v>394</v>
      </c>
      <c r="C114" s="551">
        <f>C91*ALECA_Input!H161</f>
        <v>0</v>
      </c>
      <c r="D114" s="265">
        <v>12</v>
      </c>
      <c r="E114" s="264" t="s">
        <v>517</v>
      </c>
      <c r="F114" s="119">
        <f>'Aircraft Calc'!T226</f>
        <v>0.70199999999999996</v>
      </c>
      <c r="G114" s="119">
        <f>'Aircraft Calc'!W226</f>
        <v>4.2999999999999997E-2</v>
      </c>
      <c r="H114" s="119">
        <f>'Aircraft Calc'!Z226</f>
        <v>0.38600000000000001</v>
      </c>
      <c r="I114" s="119">
        <f>'Aircraft Calc'!AC226</f>
        <v>1.2999999999999999E-2</v>
      </c>
      <c r="J114" s="298">
        <f>'Aircraft Calc'!AF226</f>
        <v>9.48E+16</v>
      </c>
      <c r="K114" s="149">
        <f>'Aircraft Calc'!Q226*D$16</f>
        <v>5.5000000000000005E-3</v>
      </c>
      <c r="L114" s="292">
        <f>'Aircraft Calc'!Q226*B$16</f>
        <v>347.6</v>
      </c>
    </row>
    <row r="115" spans="1:18" x14ac:dyDescent="0.25">
      <c r="B115" s="100" t="s">
        <v>395</v>
      </c>
      <c r="C115" s="551">
        <f>C92*ALECA_Input!J161</f>
        <v>0</v>
      </c>
      <c r="D115" s="265">
        <v>12</v>
      </c>
      <c r="E115" s="264" t="s">
        <v>517</v>
      </c>
      <c r="F115" s="119">
        <f>'Aircraft Calc'!T227</f>
        <v>0.7</v>
      </c>
      <c r="G115" s="119">
        <f>'Aircraft Calc'!W227</f>
        <v>2.7E-2</v>
      </c>
      <c r="H115" s="119">
        <f>'Aircraft Calc'!Z227</f>
        <v>0.61499999999999999</v>
      </c>
      <c r="I115" s="119">
        <f>'Aircraft Calc'!AC227</f>
        <v>2.8000000000000001E-2</v>
      </c>
      <c r="J115" s="298">
        <f>'Aircraft Calc'!AF227</f>
        <v>2E+17</v>
      </c>
      <c r="K115" s="149">
        <f>'Aircraft Calc'!Q227*D$16</f>
        <v>5.0500000000000007E-3</v>
      </c>
      <c r="L115" s="292">
        <f>'Aircraft Calc'!Q227*B$16</f>
        <v>319.16000000000003</v>
      </c>
    </row>
    <row r="116" spans="1:18" x14ac:dyDescent="0.25">
      <c r="B116" s="100" t="s">
        <v>396</v>
      </c>
      <c r="C116" s="551">
        <f>C93*ALECA_Input!J161</f>
        <v>0</v>
      </c>
      <c r="D116" s="265">
        <v>12</v>
      </c>
      <c r="E116" s="264" t="s">
        <v>517</v>
      </c>
      <c r="F116" s="119">
        <f>'Aircraft Calc'!T228</f>
        <v>0.7</v>
      </c>
      <c r="G116" s="119">
        <f>'Aircraft Calc'!W228</f>
        <v>2.7E-2</v>
      </c>
      <c r="H116" s="119">
        <f>'Aircraft Calc'!Z228</f>
        <v>0.61499999999999999</v>
      </c>
      <c r="I116" s="119">
        <f>'Aircraft Calc'!AC228</f>
        <v>2.8000000000000001E-2</v>
      </c>
      <c r="J116" s="298">
        <f>'Aircraft Calc'!AF228</f>
        <v>2E+17</v>
      </c>
      <c r="K116" s="149">
        <f>'Aircraft Calc'!Q228*D$16</f>
        <v>5.0500000000000007E-3</v>
      </c>
      <c r="L116" s="292">
        <f>'Aircraft Calc'!Q228*B$16</f>
        <v>319.16000000000003</v>
      </c>
    </row>
    <row r="117" spans="1:18" x14ac:dyDescent="0.25">
      <c r="B117" s="100" t="s">
        <v>386</v>
      </c>
      <c r="C117" s="551">
        <f>C94*ALECA_Input!L161</f>
        <v>0</v>
      </c>
      <c r="D117" s="265">
        <v>12</v>
      </c>
      <c r="E117" s="264" t="s">
        <v>517</v>
      </c>
      <c r="F117" s="119"/>
      <c r="G117" s="119"/>
      <c r="H117" s="119"/>
      <c r="I117" s="119"/>
      <c r="J117" s="298"/>
      <c r="K117" s="149"/>
      <c r="L117" s="292"/>
    </row>
    <row r="118" spans="1:18" x14ac:dyDescent="0.25">
      <c r="B118" s="101" t="s">
        <v>167</v>
      </c>
      <c r="C118" s="101" t="s">
        <v>2960</v>
      </c>
      <c r="D118" s="249"/>
      <c r="E118" s="263" t="s">
        <v>3395</v>
      </c>
      <c r="F118" s="471">
        <f>SUMPRODUCT($C112:$C117,$D112:$D117,F112:F117)/60</f>
        <v>0</v>
      </c>
      <c r="G118" s="471">
        <f t="shared" ref="G118:L118" si="11">SUMPRODUCT($C112:$C117,$D112:$D117,G112:G117)/60</f>
        <v>0</v>
      </c>
      <c r="H118" s="471">
        <f t="shared" si="11"/>
        <v>0</v>
      </c>
      <c r="I118" s="471">
        <f t="shared" si="11"/>
        <v>0</v>
      </c>
      <c r="J118" s="552">
        <f t="shared" si="11"/>
        <v>0</v>
      </c>
      <c r="K118" s="471">
        <f t="shared" si="11"/>
        <v>0</v>
      </c>
      <c r="L118" s="471">
        <f t="shared" si="11"/>
        <v>0</v>
      </c>
    </row>
    <row r="119" spans="1:18" s="101" customFormat="1" x14ac:dyDescent="0.25">
      <c r="C119" s="101" t="s">
        <v>2961</v>
      </c>
      <c r="E119" s="263" t="s">
        <v>3395</v>
      </c>
      <c r="F119" s="139">
        <f>F118+(F118*'Aircraft Calc'!I$200*('Aircraft Calc'!I$201-1))</f>
        <v>0</v>
      </c>
      <c r="G119" s="139">
        <f>G118+(G118*'Aircraft Calc'!J$200*('Aircraft Calc'!J$201-1))</f>
        <v>0</v>
      </c>
      <c r="H119" s="139">
        <f>H118+(H118*'Aircraft Calc'!K$200*('Aircraft Calc'!K$201-1))</f>
        <v>0</v>
      </c>
      <c r="I119" s="139">
        <f>I118+(I118*'Aircraft Calc'!L$200*('Aircraft Calc'!L$201-1))</f>
        <v>0</v>
      </c>
      <c r="J119" s="230">
        <f>J118+(J118*'Aircraft Calc'!M$200*('Aircraft Calc'!M$201-1))</f>
        <v>0</v>
      </c>
      <c r="K119" s="139">
        <f>K118+(K118*'Aircraft Calc'!N$200*('Aircraft Calc'!N$201-1))</f>
        <v>0</v>
      </c>
      <c r="L119" s="139">
        <f>L118+(L118*'Aircraft Calc'!O$200*('Aircraft Calc'!O$201-1))</f>
        <v>0</v>
      </c>
      <c r="P119" s="100"/>
      <c r="Q119" s="100"/>
      <c r="R119" s="100"/>
    </row>
    <row r="120" spans="1:18" s="101" customFormat="1" x14ac:dyDescent="0.25">
      <c r="C120" s="101" t="s">
        <v>3538</v>
      </c>
      <c r="E120" s="463" t="s">
        <v>3539</v>
      </c>
      <c r="F120" s="464">
        <f>(F118-F119)/1000</f>
        <v>0</v>
      </c>
      <c r="G120" s="464">
        <f t="shared" ref="G120:I120" si="12">(G118-G119)/1000</f>
        <v>0</v>
      </c>
      <c r="H120" s="464">
        <f>(H118-H119)/1000</f>
        <v>0</v>
      </c>
      <c r="I120" s="464">
        <f t="shared" si="12"/>
        <v>0</v>
      </c>
      <c r="J120" s="230">
        <f>J118-J119</f>
        <v>0</v>
      </c>
      <c r="K120" s="464">
        <f t="shared" ref="K120:L120" si="13">(K118-K119)/1000</f>
        <v>0</v>
      </c>
      <c r="L120" s="464">
        <f t="shared" si="13"/>
        <v>0</v>
      </c>
      <c r="P120" s="100"/>
      <c r="Q120" s="100"/>
      <c r="R120" s="100"/>
    </row>
    <row r="121" spans="1:18" x14ac:dyDescent="0.25">
      <c r="B121" s="101" t="s">
        <v>3602</v>
      </c>
      <c r="C121" s="126" t="s">
        <v>3428</v>
      </c>
      <c r="D121" s="348">
        <f>SUMPRODUCT(C112:C117,D112:D117)</f>
        <v>0</v>
      </c>
      <c r="I121" s="337"/>
    </row>
    <row r="122" spans="1:18" x14ac:dyDescent="0.25">
      <c r="A122" s="334"/>
      <c r="B122" s="335"/>
    </row>
    <row r="123" spans="1:18" x14ac:dyDescent="0.25">
      <c r="A123" s="635" t="s">
        <v>191</v>
      </c>
      <c r="B123" s="636"/>
      <c r="C123" s="237" t="s">
        <v>3419</v>
      </c>
    </row>
    <row r="125" spans="1:18" x14ac:dyDescent="0.25">
      <c r="B125" s="310" t="s">
        <v>414</v>
      </c>
      <c r="C125" s="312" t="s">
        <v>415</v>
      </c>
      <c r="D125" s="383" t="s">
        <v>516</v>
      </c>
      <c r="E125" s="312" t="s">
        <v>3558</v>
      </c>
      <c r="F125" s="312" t="s">
        <v>3559</v>
      </c>
      <c r="G125" s="310" t="s">
        <v>439</v>
      </c>
      <c r="H125" s="310"/>
      <c r="I125" s="312"/>
      <c r="J125" s="311"/>
      <c r="K125" s="311"/>
      <c r="L125" s="312" t="s">
        <v>3575</v>
      </c>
    </row>
    <row r="126" spans="1:18" x14ac:dyDescent="0.25">
      <c r="B126" s="100" t="s">
        <v>416</v>
      </c>
      <c r="C126" s="258">
        <f>ALECA_Input!D167</f>
        <v>0</v>
      </c>
      <c r="D126" s="259" t="str">
        <f>ALECA_Input!F167</f>
        <v>m3</v>
      </c>
      <c r="E126" s="249">
        <f>IF(D126="US gallons",C126/E$4*E$7,IF(D126="m3",C126*E$7*1000,C126*1000))</f>
        <v>0</v>
      </c>
      <c r="F126" s="249">
        <f>IF(ALECA_Input!D167=0,'Rest Calc'!F142*1000,'Rest Calc'!E126)</f>
        <v>0</v>
      </c>
      <c r="G126" s="117">
        <v>0.01</v>
      </c>
      <c r="H126" s="117"/>
      <c r="I126" s="122"/>
      <c r="J126" s="117"/>
      <c r="L126" s="293">
        <f>F126*B16</f>
        <v>0</v>
      </c>
    </row>
    <row r="127" spans="1:18" x14ac:dyDescent="0.25">
      <c r="B127" s="100" t="s">
        <v>417</v>
      </c>
      <c r="C127" s="258">
        <f>ALECA_Input!D169</f>
        <v>0</v>
      </c>
      <c r="D127" s="259" t="str">
        <f>ALECA_Input!F169</f>
        <v>m3</v>
      </c>
      <c r="E127" s="249">
        <f>IF(D127="US gallons",C127/E$4*E$7,IF(D127="m3",C127*E$7*1000,C127*1000))</f>
        <v>0</v>
      </c>
      <c r="F127" s="249">
        <f>IF(ALECA_Input!D169=0,'Rest Calc'!G142*1000,'Rest Calc'!E127)</f>
        <v>0</v>
      </c>
      <c r="G127" s="117">
        <v>2.5499999999999998</v>
      </c>
      <c r="H127" s="117"/>
      <c r="I127" s="122"/>
      <c r="J127" s="117"/>
      <c r="L127" s="293">
        <f>F127*B17</f>
        <v>0</v>
      </c>
    </row>
    <row r="128" spans="1:18" s="101" customFormat="1" x14ac:dyDescent="0.25">
      <c r="B128" s="101" t="s">
        <v>167</v>
      </c>
      <c r="D128" s="138" t="s">
        <v>412</v>
      </c>
      <c r="G128" s="123">
        <f>(F126*G126+F127*G127)/1000</f>
        <v>0</v>
      </c>
      <c r="L128" s="484">
        <f>SUM(L126:L127)</f>
        <v>0</v>
      </c>
    </row>
    <row r="129" spans="1:12" ht="8.25" customHeight="1" x14ac:dyDescent="0.25"/>
    <row r="130" spans="1:12" x14ac:dyDescent="0.25">
      <c r="A130" s="340"/>
      <c r="B130" s="474" t="s">
        <v>3570</v>
      </c>
      <c r="C130" s="546">
        <f>ALECA_Input!C107</f>
        <v>0</v>
      </c>
      <c r="D130" s="475">
        <f>ALECA_Input!C115</f>
        <v>0</v>
      </c>
      <c r="E130" s="110" t="s">
        <v>412</v>
      </c>
      <c r="L130" s="294">
        <f>L126*C130*(1-D130)</f>
        <v>0</v>
      </c>
    </row>
    <row r="132" spans="1:12" x14ac:dyDescent="0.25">
      <c r="B132" s="101" t="s">
        <v>3552</v>
      </c>
      <c r="C132" s="485" t="s">
        <v>3557</v>
      </c>
    </row>
    <row r="133" spans="1:12" x14ac:dyDescent="0.25">
      <c r="B133" s="310" t="s">
        <v>378</v>
      </c>
      <c r="C133" s="312" t="s">
        <v>3556</v>
      </c>
      <c r="D133" s="312" t="s">
        <v>3569</v>
      </c>
      <c r="E133" s="312" t="s">
        <v>3553</v>
      </c>
      <c r="F133" s="312" t="s">
        <v>3554</v>
      </c>
      <c r="G133" s="312" t="s">
        <v>3555</v>
      </c>
    </row>
    <row r="134" spans="1:12" x14ac:dyDescent="0.25">
      <c r="B134" s="100" t="s">
        <v>383</v>
      </c>
      <c r="C134" s="486">
        <v>165008.54758064516</v>
      </c>
      <c r="D134" s="483">
        <v>34.804335663393957</v>
      </c>
      <c r="E134" s="438">
        <f>'Aircraft Calc'!H186</f>
        <v>0</v>
      </c>
      <c r="F134" s="293">
        <f>D134*E134</f>
        <v>0</v>
      </c>
    </row>
    <row r="135" spans="1:12" x14ac:dyDescent="0.25">
      <c r="B135" s="100" t="s">
        <v>393</v>
      </c>
      <c r="C135" s="486">
        <v>108191.64012345677</v>
      </c>
      <c r="D135" s="483">
        <v>22.820261217010998</v>
      </c>
      <c r="E135" s="438">
        <f>'Aircraft Calc'!H187</f>
        <v>0</v>
      </c>
      <c r="F135" s="293">
        <f t="shared" ref="F135:F139" si="14">D135*E135</f>
        <v>0</v>
      </c>
    </row>
    <row r="136" spans="1:12" x14ac:dyDescent="0.25">
      <c r="B136" s="100" t="s">
        <v>394</v>
      </c>
      <c r="C136" s="486">
        <v>20583.131078961131</v>
      </c>
      <c r="D136" s="483">
        <v>4.3414854174489328</v>
      </c>
      <c r="E136" s="438">
        <f>'Aircraft Calc'!H188</f>
        <v>0</v>
      </c>
      <c r="F136" s="293">
        <f t="shared" si="14"/>
        <v>0</v>
      </c>
    </row>
    <row r="137" spans="1:12" x14ac:dyDescent="0.25">
      <c r="B137" s="100" t="s">
        <v>395</v>
      </c>
      <c r="C137" s="486">
        <v>9591.1741814278048</v>
      </c>
      <c r="D137" s="483">
        <v>2.0230130530259034</v>
      </c>
      <c r="E137" s="438">
        <f>'Aircraft Calc'!H189</f>
        <v>0</v>
      </c>
      <c r="F137" s="293">
        <f t="shared" si="14"/>
        <v>0</v>
      </c>
    </row>
    <row r="138" spans="1:12" x14ac:dyDescent="0.25">
      <c r="B138" s="100" t="s">
        <v>396</v>
      </c>
      <c r="C138" s="486">
        <v>9591.1741814278048</v>
      </c>
      <c r="D138" s="483">
        <v>2.0230130530259034</v>
      </c>
      <c r="E138" s="438">
        <f>'Aircraft Calc'!H190</f>
        <v>0</v>
      </c>
      <c r="F138" s="293">
        <f t="shared" si="14"/>
        <v>0</v>
      </c>
    </row>
    <row r="139" spans="1:12" x14ac:dyDescent="0.25">
      <c r="B139" s="100" t="s">
        <v>386</v>
      </c>
      <c r="C139" s="486">
        <v>7500</v>
      </c>
      <c r="D139" s="483">
        <v>1.5819333077147377</v>
      </c>
      <c r="E139" s="438">
        <f>'Aircraft Calc'!H191</f>
        <v>0</v>
      </c>
      <c r="F139" s="293">
        <f t="shared" si="14"/>
        <v>0</v>
      </c>
    </row>
    <row r="140" spans="1:12" s="101" customFormat="1" x14ac:dyDescent="0.25">
      <c r="B140" s="147" t="s">
        <v>385</v>
      </c>
      <c r="C140" s="487">
        <v>1309.2393188057654</v>
      </c>
      <c r="D140" s="488">
        <v>0.27615057149181255</v>
      </c>
      <c r="E140" s="438">
        <f>'Aircraft Calc'!H192</f>
        <v>0</v>
      </c>
      <c r="G140" s="293">
        <f>D140*E140</f>
        <v>0</v>
      </c>
    </row>
    <row r="141" spans="1:12" x14ac:dyDescent="0.25">
      <c r="B141" s="147" t="s">
        <v>384</v>
      </c>
      <c r="C141" s="486">
        <v>1512</v>
      </c>
      <c r="D141" s="483">
        <v>0.63800000000000001</v>
      </c>
      <c r="E141" s="438">
        <f>'Aircraft Calc'!H193</f>
        <v>0</v>
      </c>
      <c r="F141" s="293">
        <f>D141*E141</f>
        <v>0</v>
      </c>
    </row>
    <row r="142" spans="1:12" x14ac:dyDescent="0.25">
      <c r="B142" s="101" t="s">
        <v>167</v>
      </c>
      <c r="F142" s="484">
        <f>SUM(F134:F141)</f>
        <v>0</v>
      </c>
      <c r="G142" s="249">
        <f>SUM(G134:G141)</f>
        <v>0</v>
      </c>
      <c r="H142" s="149"/>
    </row>
    <row r="143" spans="1:12" x14ac:dyDescent="0.25">
      <c r="A143" s="340"/>
      <c r="B143" s="340"/>
    </row>
    <row r="144" spans="1:12" x14ac:dyDescent="0.25">
      <c r="A144" s="73" t="s">
        <v>647</v>
      </c>
      <c r="B144" s="73"/>
      <c r="C144" s="237" t="s">
        <v>3418</v>
      </c>
    </row>
    <row r="145" spans="2:13" ht="4.5" customHeight="1" x14ac:dyDescent="0.25"/>
    <row r="146" spans="2:13" s="101" customFormat="1" x14ac:dyDescent="0.25">
      <c r="B146" s="310" t="s">
        <v>378</v>
      </c>
      <c r="C146" s="310" t="s">
        <v>418</v>
      </c>
      <c r="D146" s="383" t="s">
        <v>693</v>
      </c>
      <c r="E146" s="312" t="s">
        <v>3417</v>
      </c>
      <c r="F146" s="312" t="s">
        <v>537</v>
      </c>
      <c r="G146" s="312" t="s">
        <v>204</v>
      </c>
      <c r="H146" s="312" t="s">
        <v>205</v>
      </c>
      <c r="I146" s="312" t="s">
        <v>206</v>
      </c>
      <c r="J146" s="310" t="s">
        <v>570</v>
      </c>
      <c r="K146" s="312" t="s">
        <v>539</v>
      </c>
      <c r="L146" s="312" t="s">
        <v>207</v>
      </c>
    </row>
    <row r="147" spans="2:13" x14ac:dyDescent="0.25">
      <c r="B147" s="100" t="s">
        <v>383</v>
      </c>
      <c r="C147" s="100" t="str">
        <f>'Aircraft Calc'!A74</f>
        <v>Boeing 777-300ER*</v>
      </c>
      <c r="D147" s="384" t="s">
        <v>1620</v>
      </c>
      <c r="E147" s="249">
        <f>(VLOOKUP(D147,Engines_all!$A$3:$AZ$843,52,FALSE)/2)+80</f>
        <v>336.95</v>
      </c>
      <c r="F147" s="119">
        <f>VLOOKUP($D147,Engines_all!$A$3:'Engines_all'!$V$843,18,FALSE)</f>
        <v>118.33200000000001</v>
      </c>
      <c r="G147" s="119">
        <f>VLOOKUP($D147,Engines_all!$A$3:'Engines_all'!$V$843,19,FALSE)</f>
        <v>96.672000000000011</v>
      </c>
      <c r="H147" s="119">
        <f>VLOOKUP($D147,Engines_all!$A$3:'Engines_all'!$V$843,20,FALSE)</f>
        <v>891.70799999999997</v>
      </c>
      <c r="I147" s="119">
        <f>VLOOKUP($D147,Engines_all!$A$3:'Engines_all'!$V$843,21,FALSE)</f>
        <v>1.8864236177539133</v>
      </c>
      <c r="J147" s="146">
        <f>VLOOKUP($D147,Engines_all!$A$3:'Engines_all'!$V$843,22,FALSE)</f>
        <v>8762920641925158</v>
      </c>
      <c r="K147" s="119">
        <f>VLOOKUP($D147,Engines_all!$A$3:'Engines_all'!$V$843,17,FALSE)*0.0005</f>
        <v>11.4</v>
      </c>
      <c r="L147" s="119">
        <f>VLOOKUP($D147,Engines_all!$A$3:'Engines_all'!$V$843,17,FALSE)*B16</f>
        <v>72048</v>
      </c>
    </row>
    <row r="148" spans="2:13" x14ac:dyDescent="0.25">
      <c r="B148" s="100" t="s">
        <v>393</v>
      </c>
      <c r="C148" s="100" t="str">
        <f>'Aircraft Calc'!A30</f>
        <v>Airbus 330-300*</v>
      </c>
      <c r="D148" s="384" t="s">
        <v>2195</v>
      </c>
      <c r="E148" s="249">
        <f>(VLOOKUP(D148,Engines_all!$A$3:$AZ$843,52,FALSE)/2)+80</f>
        <v>240.15</v>
      </c>
      <c r="F148" s="119">
        <f>VLOOKUP($D148,Engines_all!$A$3:'Engines_all'!$V$843,18,FALSE)</f>
        <v>75.492000000000019</v>
      </c>
      <c r="G148" s="119">
        <f>VLOOKUP($D148,Engines_all!$A$3:'Engines_all'!$V$843,19,FALSE)</f>
        <v>39.852000000000004</v>
      </c>
      <c r="H148" s="119">
        <f>VLOOKUP($D148,Engines_all!$A$3:'Engines_all'!$V$843,20,FALSE)</f>
        <v>388.31400000000002</v>
      </c>
      <c r="I148" s="119">
        <f>VLOOKUP($D148,Engines_all!$A$3:'Engines_all'!$V$843,21,FALSE)</f>
        <v>1.4192461923503512</v>
      </c>
      <c r="J148" s="146">
        <f>VLOOKUP($D148,Engines_all!$A$3:'Engines_all'!$V$843,22,FALSE)</f>
        <v>1.9184308133144856E+16</v>
      </c>
      <c r="K148" s="119">
        <f>VLOOKUP($D148,Engines_all!$A$3:'Engines_all'!$V$843,17,FALSE)*0.0005</f>
        <v>8.1000000000000014</v>
      </c>
      <c r="L148" s="119">
        <f>VLOOKUP($D148,Engines_all!$A$3:'Engines_all'!$V$843,17,FALSE)*B17</f>
        <v>49410.000000000007</v>
      </c>
    </row>
    <row r="149" spans="2:13" x14ac:dyDescent="0.25">
      <c r="B149" s="100" t="s">
        <v>394</v>
      </c>
      <c r="C149" s="100" t="str">
        <f>'Aircraft Calc'!A19</f>
        <v>Airbus 320*</v>
      </c>
      <c r="D149" s="384" t="s">
        <v>1290</v>
      </c>
      <c r="E149" s="249">
        <f>(VLOOKUP(D149,Engines_all!$A$3:$AZ$843,52,FALSE)/2)+80</f>
        <v>140.05000000000001</v>
      </c>
      <c r="F149" s="119">
        <f>VLOOKUP($D149,Engines_all!$A$3:'Engines_all'!$V$843,18,FALSE)</f>
        <v>25.826399999999996</v>
      </c>
      <c r="G149" s="119">
        <f>VLOOKUP($D149,Engines_all!$A$3:'Engines_all'!$V$843,19,FALSE)</f>
        <v>11.750399999999997</v>
      </c>
      <c r="H149" s="119">
        <f>VLOOKUP($D149,Engines_all!$A$3:'Engines_all'!$V$843,20,FALSE)</f>
        <v>196.26839999999999</v>
      </c>
      <c r="I149" s="119">
        <f>VLOOKUP($D149,Engines_all!$A$3:'Engines_all'!$V$843,21,FALSE)</f>
        <v>0.50379959400829011</v>
      </c>
      <c r="J149" s="146">
        <f>VLOOKUP($D149,Engines_all!$A$3:'Engines_all'!$V$843,22,FALSE)</f>
        <v>6643456269591406</v>
      </c>
      <c r="K149" s="119">
        <f>VLOOKUP($D149,Engines_all!$A$3:'Engines_all'!$V$843,17,FALSE)*0.0005</f>
        <v>3.0599999999999996</v>
      </c>
      <c r="L149" s="119">
        <f>VLOOKUP($D149,Engines_all!$A$3:'Engines_all'!$V$843,17,FALSE)*B18</f>
        <v>0</v>
      </c>
    </row>
    <row r="150" spans="2:13" x14ac:dyDescent="0.25">
      <c r="B150" s="100" t="s">
        <v>395</v>
      </c>
      <c r="C150" s="100" t="str">
        <f>'Aircraft Calc'!A99</f>
        <v>CRJ900*</v>
      </c>
      <c r="D150" s="384" t="s">
        <v>675</v>
      </c>
      <c r="E150" s="249">
        <f>(VLOOKUP(D150,Engines_all!$A$3:$AZ$843,52,FALSE)/2)+80</f>
        <v>109.71000000000001</v>
      </c>
      <c r="F150" s="119">
        <f>VLOOKUP($D150,Engines_all!$A$3:'Engines_all'!$V$843,18,FALSE)</f>
        <v>17.663999999999998</v>
      </c>
      <c r="G150" s="119">
        <f>VLOOKUP($D150,Engines_all!$A$3:'Engines_all'!$V$843,19,FALSE)</f>
        <v>0.49919999999999998</v>
      </c>
      <c r="H150" s="119">
        <f>VLOOKUP($D150,Engines_all!$A$3:'Engines_all'!$V$843,20,FALSE)</f>
        <v>70.08</v>
      </c>
      <c r="I150" s="119">
        <f>VLOOKUP($D150,Engines_all!$A$3:'Engines_all'!$V$843,21,FALSE)</f>
        <v>0.20406335717213192</v>
      </c>
      <c r="J150" s="146">
        <f>VLOOKUP($D150,Engines_all!$A$3:'Engines_all'!$V$843,22,FALSE)</f>
        <v>654781438828353.88</v>
      </c>
      <c r="K150" s="119">
        <f>VLOOKUP($D150,Engines_all!$A$3:'Engines_all'!$V$843,17,FALSE)*0.0005</f>
        <v>1.92</v>
      </c>
      <c r="L150" s="119">
        <f>VLOOKUP($D150,Engines_all!$A$3:'Engines_all'!$V$843,17,FALSE)*B19</f>
        <v>0</v>
      </c>
    </row>
    <row r="151" spans="2:13" x14ac:dyDescent="0.25">
      <c r="B151" s="100" t="s">
        <v>386</v>
      </c>
      <c r="C151" s="100" t="str">
        <f>'Aircraft Calc'!A50</f>
        <v>Beech Super King 200B</v>
      </c>
      <c r="D151" s="384" t="s">
        <v>230</v>
      </c>
      <c r="E151" s="249">
        <v>180</v>
      </c>
      <c r="F151" s="119">
        <f>VLOOKUP($D151,Engines_all!$A$3:'Engines_all'!$V$843,18,FALSE)</f>
        <v>1.5274285714285769</v>
      </c>
      <c r="G151" s="119">
        <f>VLOOKUP($D151,Engines_all!$A$3:'Engines_all'!$V$843,19,FALSE)</f>
        <v>12.312551347005261</v>
      </c>
      <c r="H151" s="119">
        <f>VLOOKUP($D151,Engines_all!$A$3:'Engines_all'!$V$843,20,FALSE)</f>
        <v>54.229924523949201</v>
      </c>
      <c r="I151" s="119">
        <f>VLOOKUP($D151,Engines_all!$A$3:'Engines_all'!$V$843,21,FALSE)</f>
        <v>0.23360695082575722</v>
      </c>
      <c r="J151" s="146">
        <f>VLOOKUP($D151,Engines_all!$A$3:'Engines_all'!$V$843,22,FALSE)</f>
        <v>6971614194389966</v>
      </c>
      <c r="K151" s="119">
        <f>VLOOKUP($D151,Engines_all!$A$3:'Engines_all'!$V$843,17,FALSE)*0.0005</f>
        <v>0.35351298218230803</v>
      </c>
      <c r="L151" s="119">
        <f>VLOOKUP($D151,Engines_all!$A$3:'Engines_all'!$V$843,17,FALSE)*B20</f>
        <v>0</v>
      </c>
    </row>
    <row r="152" spans="2:13" ht="6" customHeight="1" x14ac:dyDescent="0.25">
      <c r="D152" s="111"/>
      <c r="F152" s="111"/>
      <c r="G152" s="111"/>
      <c r="H152" s="111"/>
      <c r="I152" s="111"/>
      <c r="J152" s="146"/>
      <c r="K152" s="111"/>
      <c r="L152" s="111"/>
      <c r="M152" s="111"/>
    </row>
    <row r="153" spans="2:13" x14ac:dyDescent="0.25">
      <c r="B153" s="310" t="s">
        <v>378</v>
      </c>
      <c r="C153" s="312" t="s">
        <v>419</v>
      </c>
      <c r="D153" s="312" t="s">
        <v>420</v>
      </c>
      <c r="E153" s="311"/>
      <c r="F153" s="312" t="s">
        <v>538</v>
      </c>
      <c r="G153" s="312" t="s">
        <v>421</v>
      </c>
      <c r="H153" s="312" t="s">
        <v>422</v>
      </c>
      <c r="I153" s="312" t="s">
        <v>423</v>
      </c>
      <c r="J153" s="313" t="s">
        <v>3403</v>
      </c>
      <c r="K153" s="312" t="s">
        <v>540</v>
      </c>
      <c r="L153" s="312" t="s">
        <v>424</v>
      </c>
      <c r="M153" s="111"/>
    </row>
    <row r="154" spans="2:13" x14ac:dyDescent="0.25">
      <c r="B154" s="100" t="s">
        <v>383</v>
      </c>
      <c r="C154" s="299">
        <f>ALECA_Input!D176*ALECA_Input!D178</f>
        <v>0</v>
      </c>
      <c r="D154" s="260">
        <f>IF(ALECA_Input!N176=0,1,ALECA_Input!N176)</f>
        <v>1</v>
      </c>
      <c r="F154" s="120">
        <f>$C154*F147*$D154/1000</f>
        <v>0</v>
      </c>
      <c r="G154" s="120">
        <f>($C154*G147*$D154+E147*ALECA_Input!D176)/1000</f>
        <v>0</v>
      </c>
      <c r="H154" s="120">
        <f t="shared" ref="H154:I158" si="15">$C154*H147*$D154/1000</f>
        <v>0</v>
      </c>
      <c r="I154" s="120">
        <f t="shared" si="15"/>
        <v>0</v>
      </c>
      <c r="J154" s="228">
        <f>$C154*J147*$D154</f>
        <v>0</v>
      </c>
      <c r="K154" s="120">
        <f t="shared" ref="K154:L158" si="16">$C154*K147*$D154/1000</f>
        <v>0</v>
      </c>
      <c r="L154" s="120">
        <f t="shared" si="16"/>
        <v>0</v>
      </c>
    </row>
    <row r="155" spans="2:13" x14ac:dyDescent="0.25">
      <c r="B155" s="100" t="s">
        <v>393</v>
      </c>
      <c r="C155" s="299">
        <f>ALECA_Input!F176*ALECA_Input!F178</f>
        <v>0</v>
      </c>
      <c r="D155" s="260">
        <f>IF(ALECA_Input!N176=0,1,ALECA_Input!N176)</f>
        <v>1</v>
      </c>
      <c r="F155" s="120">
        <f>$C155*F148*$D155/1000</f>
        <v>0</v>
      </c>
      <c r="G155" s="120">
        <f>($C155*G148*$D155+E148*ALECA_Input!F176)/1000</f>
        <v>0</v>
      </c>
      <c r="H155" s="120">
        <f t="shared" si="15"/>
        <v>0</v>
      </c>
      <c r="I155" s="120">
        <f t="shared" si="15"/>
        <v>0</v>
      </c>
      <c r="J155" s="228">
        <f>$C155*J148*$D155</f>
        <v>0</v>
      </c>
      <c r="K155" s="120">
        <f t="shared" si="16"/>
        <v>0</v>
      </c>
      <c r="L155" s="120">
        <f t="shared" si="16"/>
        <v>0</v>
      </c>
    </row>
    <row r="156" spans="2:13" x14ac:dyDescent="0.25">
      <c r="B156" s="100" t="s">
        <v>394</v>
      </c>
      <c r="C156" s="299">
        <f>ALECA_Input!H176*ALECA_Input!H178</f>
        <v>0</v>
      </c>
      <c r="D156" s="260">
        <f>IF(ALECA_Input!N176=0,1,ALECA_Input!N176)</f>
        <v>1</v>
      </c>
      <c r="F156" s="120">
        <f>$C156*F149*$D156/1000</f>
        <v>0</v>
      </c>
      <c r="G156" s="120">
        <f>($C156*G149*$D156+E149*ALECA_Input!H176)/1000</f>
        <v>0</v>
      </c>
      <c r="H156" s="120">
        <f t="shared" si="15"/>
        <v>0</v>
      </c>
      <c r="I156" s="120">
        <f t="shared" si="15"/>
        <v>0</v>
      </c>
      <c r="J156" s="228">
        <f>$C156*J149*$D156</f>
        <v>0</v>
      </c>
      <c r="K156" s="120">
        <f t="shared" si="16"/>
        <v>0</v>
      </c>
      <c r="L156" s="120">
        <f t="shared" si="16"/>
        <v>0</v>
      </c>
    </row>
    <row r="157" spans="2:13" x14ac:dyDescent="0.25">
      <c r="B157" s="100" t="s">
        <v>395</v>
      </c>
      <c r="C157" s="299">
        <f>ALECA_Input!J176*ALECA_Input!J178</f>
        <v>0</v>
      </c>
      <c r="D157" s="260">
        <f>IF(ALECA_Input!N176=0,1,ALECA_Input!N176)</f>
        <v>1</v>
      </c>
      <c r="F157" s="120">
        <f>$C157*F150*$D157/1000</f>
        <v>0</v>
      </c>
      <c r="G157" s="120">
        <f>($C157*G150*$D157+E150*ALECA_Input!J176)/1000</f>
        <v>0</v>
      </c>
      <c r="H157" s="120">
        <f t="shared" si="15"/>
        <v>0</v>
      </c>
      <c r="I157" s="120">
        <f t="shared" si="15"/>
        <v>0</v>
      </c>
      <c r="J157" s="228">
        <f>$C157*J150*$D157</f>
        <v>0</v>
      </c>
      <c r="K157" s="120">
        <f t="shared" si="16"/>
        <v>0</v>
      </c>
      <c r="L157" s="120">
        <f t="shared" si="16"/>
        <v>0</v>
      </c>
    </row>
    <row r="158" spans="2:13" x14ac:dyDescent="0.25">
      <c r="B158" s="100" t="s">
        <v>386</v>
      </c>
      <c r="C158" s="299">
        <f>ALECA_Input!L176*ALECA_Input!L178</f>
        <v>0</v>
      </c>
      <c r="D158" s="260">
        <f>IF(ALECA_Input!N176=0,1,ALECA_Input!N176)</f>
        <v>1</v>
      </c>
      <c r="F158" s="120">
        <f>$C158*F151*$D158/1000</f>
        <v>0</v>
      </c>
      <c r="G158" s="120">
        <f>($C158*G151*$D158+E151*ALECA_Input!L176)/1000</f>
        <v>0</v>
      </c>
      <c r="H158" s="120">
        <f t="shared" si="15"/>
        <v>0</v>
      </c>
      <c r="I158" s="120">
        <f t="shared" si="15"/>
        <v>0</v>
      </c>
      <c r="J158" s="228">
        <f>$C158*J151*$D158</f>
        <v>0</v>
      </c>
      <c r="K158" s="120">
        <f t="shared" si="16"/>
        <v>0</v>
      </c>
      <c r="L158" s="120">
        <f t="shared" si="16"/>
        <v>0</v>
      </c>
    </row>
    <row r="159" spans="2:13" s="101" customFormat="1" x14ac:dyDescent="0.25">
      <c r="B159" s="101" t="s">
        <v>167</v>
      </c>
      <c r="C159" s="101" t="s">
        <v>2960</v>
      </c>
      <c r="D159" s="263" t="s">
        <v>3395</v>
      </c>
      <c r="F159" s="180">
        <f>SUM(F154:F158)</f>
        <v>0</v>
      </c>
      <c r="G159" s="180">
        <f t="shared" ref="G159:I159" si="17">SUM(G154:G158)</f>
        <v>0</v>
      </c>
      <c r="H159" s="180">
        <f t="shared" si="17"/>
        <v>0</v>
      </c>
      <c r="I159" s="180">
        <f t="shared" si="17"/>
        <v>0</v>
      </c>
      <c r="J159" s="229">
        <f>SUM(J154:J158)</f>
        <v>0</v>
      </c>
      <c r="K159" s="180">
        <f>SUM(K154:K158)</f>
        <v>0</v>
      </c>
      <c r="L159" s="180">
        <f>SUM(L154:L158)</f>
        <v>0</v>
      </c>
    </row>
    <row r="160" spans="2:13" s="101" customFormat="1" x14ac:dyDescent="0.25">
      <c r="C160" s="101" t="s">
        <v>2961</v>
      </c>
      <c r="D160" s="263" t="s">
        <v>3395</v>
      </c>
      <c r="F160" s="121">
        <f>F159+(F159*'Aircraft Calc'!I200*('Aircraft Calc'!I201-1))</f>
        <v>0</v>
      </c>
      <c r="G160" s="121">
        <f>G159+(G159*'Aircraft Calc'!J200*('Aircraft Calc'!J201-1))</f>
        <v>0</v>
      </c>
      <c r="H160" s="121">
        <f>H159+(H159*'Aircraft Calc'!K200*('Aircraft Calc'!K201-1))</f>
        <v>0</v>
      </c>
      <c r="I160" s="121">
        <f>I159+(I159*'Aircraft Calc'!L200*('Aircraft Calc'!L201-1))</f>
        <v>0</v>
      </c>
      <c r="J160" s="230">
        <f>J159+(J159*'Aircraft Calc'!M200*('Aircraft Calc'!M201-1))</f>
        <v>0</v>
      </c>
      <c r="K160" s="121">
        <f>K159+(K159*'Aircraft Calc'!N200*('Aircraft Calc'!N201-1))</f>
        <v>0</v>
      </c>
      <c r="L160" s="121">
        <f>L159+(L159*'Aircraft Calc'!O200*('Aircraft Calc'!O201-1))</f>
        <v>0</v>
      </c>
    </row>
    <row r="161" spans="1:12" s="101" customFormat="1" x14ac:dyDescent="0.25">
      <c r="C161" s="101" t="s">
        <v>3538</v>
      </c>
      <c r="D161" s="463" t="s">
        <v>3539</v>
      </c>
      <c r="F161" s="464">
        <f>(F159-F160)/1000</f>
        <v>0</v>
      </c>
      <c r="G161" s="464">
        <f t="shared" ref="G161:I161" si="18">(G159-G160)/1000</f>
        <v>0</v>
      </c>
      <c r="H161" s="464">
        <f t="shared" si="18"/>
        <v>0</v>
      </c>
      <c r="I161" s="464">
        <f t="shared" si="18"/>
        <v>0</v>
      </c>
      <c r="J161" s="230">
        <f>J159-J160</f>
        <v>0</v>
      </c>
      <c r="K161" s="464">
        <f t="shared" ref="K161" si="19">(K159-K160)/1000</f>
        <v>0</v>
      </c>
      <c r="L161" s="464">
        <f t="shared" ref="L161" si="20">(L159-L160)/1000</f>
        <v>0</v>
      </c>
    </row>
    <row r="163" spans="1:12" x14ac:dyDescent="0.25">
      <c r="A163" s="73" t="s">
        <v>555</v>
      </c>
      <c r="B163" s="73"/>
    </row>
  </sheetData>
  <sheetProtection algorithmName="SHA-512" hashValue="UCOnW2EnwxBc07Ikx0mx09xnDtflbyr2fgPqYENX8oGGWAJeNVoKCVI5EUIyq1nRERPUkjO2zksjj+y0KIpCgQ==" saltValue="x/zDclhn6Xm5oOcIzeHiAA==" spinCount="100000" sheet="1" objects="1" scenarios="1" selectLockedCells="1" selectUnlockedCells="1"/>
  <mergeCells count="5">
    <mergeCell ref="A3:B3"/>
    <mergeCell ref="A19:B19"/>
    <mergeCell ref="A28:B28"/>
    <mergeCell ref="G3:I3"/>
    <mergeCell ref="A123:B123"/>
  </mergeCells>
  <pageMargins left="0.70866141732283472" right="0.70866141732283472" top="0.78740157480314965" bottom="0.78740157480314965" header="0.31496062992125984" footer="0.31496062992125984"/>
  <pageSetup paperSize="9" scale="63" fitToHeight="2"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3"/>
  <dimension ref="A1:T181"/>
  <sheetViews>
    <sheetView workbookViewId="0">
      <pane ySplit="12" topLeftCell="A13" activePane="bottomLeft" state="frozen"/>
      <selection pane="bottomLeft" sqref="A1:XFD1048576"/>
    </sheetView>
  </sheetViews>
  <sheetFormatPr baseColWidth="10" defaultRowHeight="13.2" x14ac:dyDescent="0.25"/>
  <cols>
    <col min="1" max="1" width="22.88671875" customWidth="1"/>
    <col min="5" max="5" width="16.6640625" customWidth="1"/>
    <col min="17" max="20" width="11.44140625" style="67"/>
  </cols>
  <sheetData>
    <row r="1" spans="1:20" s="49" customFormat="1" ht="15.6" x14ac:dyDescent="0.3">
      <c r="A1" s="48" t="s">
        <v>541</v>
      </c>
      <c r="Q1" s="64"/>
      <c r="R1" s="64"/>
      <c r="S1" s="64"/>
      <c r="T1" s="64"/>
    </row>
    <row r="2" spans="1:20" s="8" customFormat="1" ht="12.75" customHeight="1" x14ac:dyDescent="0.25">
      <c r="A2" s="3"/>
      <c r="B2" s="3"/>
      <c r="C2" s="4"/>
      <c r="D2" s="5"/>
      <c r="E2" s="4"/>
      <c r="F2" s="6"/>
      <c r="G2" s="7"/>
      <c r="H2" s="2"/>
      <c r="I2" s="7"/>
      <c r="J2" s="7"/>
      <c r="K2" s="7"/>
      <c r="L2" s="7"/>
      <c r="M2" s="7"/>
      <c r="N2" s="7"/>
      <c r="O2" s="7"/>
      <c r="P2" s="7"/>
      <c r="Q2" s="45"/>
      <c r="R2" s="45"/>
      <c r="S2" s="44"/>
      <c r="T2" s="44"/>
    </row>
    <row r="3" spans="1:20" s="12" customFormat="1" ht="12.75" customHeight="1" x14ac:dyDescent="0.25">
      <c r="A3" s="639" t="s">
        <v>2</v>
      </c>
      <c r="B3" s="640"/>
      <c r="C3" s="640"/>
      <c r="D3" s="640"/>
      <c r="E3" s="640"/>
      <c r="F3" s="9"/>
      <c r="G3" s="10"/>
      <c r="H3" s="11"/>
      <c r="I3" s="10"/>
      <c r="J3" s="10"/>
      <c r="K3" s="10"/>
      <c r="L3" s="10"/>
      <c r="M3" s="10"/>
      <c r="N3" s="10"/>
      <c r="O3" s="10"/>
      <c r="P3" s="10"/>
      <c r="Q3" s="65"/>
      <c r="R3" s="65"/>
      <c r="S3" s="66"/>
      <c r="T3" s="66"/>
    </row>
    <row r="4" spans="1:20" s="8" customFormat="1" ht="12.75" customHeight="1" x14ac:dyDescent="0.25">
      <c r="A4" s="3"/>
      <c r="B4" s="3"/>
      <c r="C4" s="4"/>
      <c r="D4" s="5"/>
      <c r="E4" s="4"/>
      <c r="F4" s="58" t="s">
        <v>176</v>
      </c>
      <c r="G4" s="4"/>
      <c r="H4" s="2"/>
      <c r="I4" s="7"/>
      <c r="J4" s="7"/>
      <c r="K4" s="7"/>
      <c r="L4" s="7"/>
      <c r="M4" s="7"/>
      <c r="N4" s="7"/>
      <c r="O4" s="7"/>
      <c r="P4" s="7"/>
      <c r="Q4" s="45"/>
      <c r="R4" s="45"/>
      <c r="S4" s="44"/>
      <c r="T4" s="44"/>
    </row>
    <row r="5" spans="1:20" s="8" customFormat="1" ht="12.75" customHeight="1" x14ac:dyDescent="0.25">
      <c r="A5" s="13" t="s">
        <v>3</v>
      </c>
      <c r="B5" s="14"/>
      <c r="C5" s="15"/>
      <c r="D5" s="16">
        <v>1</v>
      </c>
      <c r="E5" s="56" t="s">
        <v>4</v>
      </c>
      <c r="F5" s="55">
        <v>160</v>
      </c>
      <c r="G5" s="4"/>
      <c r="H5" s="2"/>
      <c r="I5" s="7"/>
      <c r="J5" s="7"/>
      <c r="K5" s="7"/>
      <c r="L5" s="7"/>
      <c r="M5" s="7"/>
      <c r="N5" s="7"/>
      <c r="O5" s="7"/>
      <c r="P5" s="7"/>
      <c r="Q5" s="45"/>
      <c r="R5" s="45"/>
      <c r="S5" s="44"/>
      <c r="T5" s="44"/>
    </row>
    <row r="6" spans="1:20" s="8" customFormat="1" ht="12.75" customHeight="1" x14ac:dyDescent="0.25">
      <c r="A6" s="17"/>
      <c r="B6" s="18"/>
      <c r="C6" s="19"/>
      <c r="D6" s="16">
        <v>2</v>
      </c>
      <c r="E6" s="56" t="s">
        <v>5</v>
      </c>
      <c r="F6" s="55">
        <v>160</v>
      </c>
      <c r="G6" s="4"/>
      <c r="H6" s="2"/>
      <c r="I6" s="7"/>
      <c r="J6" s="7"/>
      <c r="K6" s="7"/>
      <c r="L6" s="7"/>
      <c r="M6" s="7"/>
      <c r="N6" s="7"/>
      <c r="O6" s="7"/>
      <c r="P6" s="7"/>
      <c r="Q6" s="45"/>
      <c r="R6" s="45"/>
      <c r="S6" s="44"/>
      <c r="T6" s="44"/>
    </row>
    <row r="7" spans="1:20" s="8" customFormat="1" ht="12.75" customHeight="1" x14ac:dyDescent="0.25">
      <c r="A7" s="17"/>
      <c r="B7" s="18"/>
      <c r="C7" s="19"/>
      <c r="D7" s="16">
        <v>3</v>
      </c>
      <c r="E7" s="56" t="s">
        <v>6</v>
      </c>
      <c r="F7" s="55">
        <v>130</v>
      </c>
      <c r="G7" s="4"/>
      <c r="H7" s="2"/>
      <c r="I7" s="7"/>
      <c r="J7" s="7"/>
      <c r="K7" s="7"/>
      <c r="L7" s="7"/>
      <c r="M7" s="7"/>
      <c r="N7" s="7"/>
      <c r="O7" s="7"/>
      <c r="P7" s="7"/>
      <c r="Q7" s="45"/>
      <c r="R7" s="45"/>
      <c r="S7" s="44"/>
      <c r="T7" s="44"/>
    </row>
    <row r="8" spans="1:20" s="8" customFormat="1" ht="12.75" customHeight="1" x14ac:dyDescent="0.25">
      <c r="A8" s="17"/>
      <c r="B8" s="18"/>
      <c r="C8" s="19"/>
      <c r="D8" s="16">
        <v>4</v>
      </c>
      <c r="E8" s="56" t="s">
        <v>7</v>
      </c>
      <c r="F8" s="55">
        <v>150</v>
      </c>
      <c r="G8" s="4"/>
      <c r="H8" s="2"/>
      <c r="I8" s="7"/>
      <c r="J8" s="7"/>
      <c r="K8" s="7"/>
      <c r="L8" s="7"/>
      <c r="M8" s="7"/>
      <c r="N8" s="7"/>
      <c r="O8" s="7"/>
      <c r="P8" s="7"/>
      <c r="Q8" s="45"/>
      <c r="R8" s="45"/>
      <c r="S8" s="44"/>
      <c r="T8" s="44"/>
    </row>
    <row r="9" spans="1:20" s="8" customFormat="1" ht="12.75" customHeight="1" x14ac:dyDescent="0.25">
      <c r="A9" s="20"/>
      <c r="B9" s="21"/>
      <c r="C9" s="22"/>
      <c r="D9" s="16">
        <v>5</v>
      </c>
      <c r="E9" s="56" t="s">
        <v>8</v>
      </c>
      <c r="F9" s="55">
        <v>160</v>
      </c>
      <c r="G9" s="4"/>
      <c r="H9" s="2"/>
      <c r="I9" s="7"/>
      <c r="J9" s="7"/>
      <c r="K9" s="7"/>
      <c r="L9" s="7"/>
      <c r="M9" s="7"/>
      <c r="N9" s="7"/>
      <c r="O9" s="7"/>
      <c r="P9" s="7"/>
      <c r="Q9" s="45"/>
      <c r="R9" s="45"/>
      <c r="S9" s="44"/>
      <c r="T9" s="44"/>
    </row>
    <row r="10" spans="1:20" s="8" customFormat="1" ht="12.75" customHeight="1" x14ac:dyDescent="0.25">
      <c r="A10" s="3"/>
      <c r="B10" s="3"/>
      <c r="C10" s="4"/>
      <c r="D10" s="5"/>
      <c r="E10" s="4"/>
      <c r="F10" s="6"/>
      <c r="G10" s="4"/>
      <c r="H10" s="2"/>
      <c r="I10" s="7"/>
      <c r="J10" s="7"/>
      <c r="K10" s="7"/>
      <c r="L10" s="7"/>
      <c r="M10" s="7"/>
      <c r="N10" s="7"/>
      <c r="O10" s="7"/>
      <c r="P10" s="7"/>
      <c r="Q10" s="45"/>
      <c r="R10" s="45"/>
      <c r="S10" s="44"/>
      <c r="T10" s="44"/>
    </row>
    <row r="11" spans="1:20" s="8" customFormat="1" ht="27" customHeight="1" x14ac:dyDescent="0.25">
      <c r="A11" s="23" t="s">
        <v>9</v>
      </c>
      <c r="B11" s="24" t="s">
        <v>10</v>
      </c>
      <c r="C11" s="25" t="s">
        <v>11</v>
      </c>
      <c r="D11" s="637" t="s">
        <v>12</v>
      </c>
      <c r="E11" s="638"/>
      <c r="F11" s="26" t="s">
        <v>13</v>
      </c>
      <c r="G11" s="50" t="s">
        <v>14</v>
      </c>
      <c r="H11" s="57" t="s">
        <v>177</v>
      </c>
      <c r="I11" s="7"/>
      <c r="J11" s="7"/>
      <c r="K11" s="7"/>
      <c r="L11" s="7"/>
      <c r="M11" s="7"/>
      <c r="N11" s="7"/>
      <c r="O11" s="7"/>
      <c r="P11" s="7"/>
      <c r="Q11" s="44"/>
      <c r="R11" s="44"/>
      <c r="S11" s="44"/>
      <c r="T11" s="44"/>
    </row>
    <row r="12" spans="1:20" s="8" customFormat="1" x14ac:dyDescent="0.25">
      <c r="A12" s="27" t="s">
        <v>15</v>
      </c>
      <c r="B12" s="28"/>
      <c r="C12" s="29"/>
      <c r="D12" s="30"/>
      <c r="E12" s="29"/>
      <c r="F12" s="31"/>
      <c r="G12" s="51"/>
      <c r="H12" s="54"/>
      <c r="I12" s="7"/>
      <c r="J12" s="7"/>
      <c r="K12" s="7"/>
      <c r="L12" s="7"/>
      <c r="M12" s="7"/>
      <c r="N12" s="7"/>
      <c r="O12" s="7"/>
      <c r="P12" s="7"/>
      <c r="Q12" s="44"/>
      <c r="R12" s="44"/>
      <c r="S12" s="44"/>
      <c r="T12" s="44"/>
    </row>
    <row r="13" spans="1:20" s="8" customFormat="1" ht="15" x14ac:dyDescent="0.25">
      <c r="A13" s="32" t="s">
        <v>16</v>
      </c>
      <c r="B13" s="33">
        <v>9.1300879999999989</v>
      </c>
      <c r="C13" s="34" t="s">
        <v>17</v>
      </c>
      <c r="D13" s="35">
        <v>3</v>
      </c>
      <c r="E13" s="34" t="str">
        <f>+VLOOKUP(D13,$D$5:$E$9,2)</f>
        <v>Europe</v>
      </c>
      <c r="F13" s="36">
        <v>2011</v>
      </c>
      <c r="G13" s="52" t="s">
        <v>18</v>
      </c>
      <c r="H13" s="59">
        <v>1.9787633120856847</v>
      </c>
      <c r="I13" s="7"/>
      <c r="J13" s="7"/>
      <c r="K13" s="7"/>
      <c r="L13" s="7"/>
      <c r="M13" s="7"/>
      <c r="N13" s="7"/>
      <c r="O13" s="7"/>
      <c r="P13" s="7"/>
      <c r="Q13" s="44"/>
      <c r="R13" s="44"/>
      <c r="S13" s="44"/>
      <c r="T13" s="44"/>
    </row>
    <row r="14" spans="1:20" s="8" customFormat="1" ht="15" x14ac:dyDescent="0.25">
      <c r="A14" s="32" t="s">
        <v>19</v>
      </c>
      <c r="B14" s="33">
        <v>664.20925999999997</v>
      </c>
      <c r="C14" s="34" t="s">
        <v>17</v>
      </c>
      <c r="D14" s="35">
        <v>1</v>
      </c>
      <c r="E14" s="34" t="str">
        <f t="shared" ref="E14:E77" si="0">+VLOOKUP(D14,$D$5:$E$9,2)</f>
        <v>Africa</v>
      </c>
      <c r="F14" s="36">
        <v>2011</v>
      </c>
      <c r="G14" s="52" t="s">
        <v>18</v>
      </c>
      <c r="H14" s="59">
        <v>3.7174099008181694</v>
      </c>
      <c r="I14" s="7"/>
      <c r="J14" s="7"/>
      <c r="K14" s="7"/>
      <c r="L14" s="7"/>
      <c r="M14" s="7"/>
      <c r="N14" s="7"/>
      <c r="O14" s="7"/>
      <c r="P14" s="7"/>
      <c r="Q14" s="44"/>
      <c r="R14" s="44"/>
      <c r="S14" s="44"/>
      <c r="T14" s="44"/>
    </row>
    <row r="15" spans="1:20" s="8" customFormat="1" ht="15" x14ac:dyDescent="0.25">
      <c r="A15" s="32" t="s">
        <v>20</v>
      </c>
      <c r="B15" s="33">
        <v>37.950113000000002</v>
      </c>
      <c r="C15" s="34" t="s">
        <v>17</v>
      </c>
      <c r="D15" s="35">
        <v>1</v>
      </c>
      <c r="E15" s="34" t="str">
        <f t="shared" si="0"/>
        <v>Africa</v>
      </c>
      <c r="F15" s="36">
        <v>2011</v>
      </c>
      <c r="G15" s="52" t="s">
        <v>18</v>
      </c>
      <c r="H15" s="59">
        <v>1.2913283150447694</v>
      </c>
      <c r="I15" s="7"/>
      <c r="J15" s="7"/>
      <c r="K15" s="7"/>
      <c r="L15" s="7"/>
      <c r="M15" s="7"/>
      <c r="N15" s="7"/>
      <c r="O15" s="7"/>
      <c r="P15" s="7"/>
      <c r="Q15" s="44"/>
      <c r="R15" s="44"/>
      <c r="S15" s="44"/>
      <c r="T15" s="44"/>
    </row>
    <row r="16" spans="1:20" s="8" customFormat="1" ht="15" x14ac:dyDescent="0.25">
      <c r="A16" s="32" t="s">
        <v>21</v>
      </c>
      <c r="B16" s="33">
        <v>391.93283299999996</v>
      </c>
      <c r="C16" s="34" t="s">
        <v>17</v>
      </c>
      <c r="D16" s="35">
        <v>4</v>
      </c>
      <c r="E16" s="34" t="str">
        <f t="shared" si="0"/>
        <v>Lat Am/Caribbean</v>
      </c>
      <c r="F16" s="36">
        <v>2011</v>
      </c>
      <c r="G16" s="52" t="s">
        <v>18</v>
      </c>
      <c r="H16" s="59">
        <v>4.7467974546732474</v>
      </c>
      <c r="I16" s="7"/>
      <c r="J16" s="7"/>
      <c r="K16" s="7"/>
      <c r="L16" s="7"/>
      <c r="M16" s="7"/>
      <c r="N16" s="7"/>
      <c r="O16" s="7"/>
      <c r="P16" s="7"/>
      <c r="Q16" s="44"/>
      <c r="R16" s="44"/>
      <c r="S16" s="44"/>
      <c r="T16" s="44"/>
    </row>
    <row r="17" spans="1:20" s="8" customFormat="1" ht="15" x14ac:dyDescent="0.25">
      <c r="A17" s="32" t="s">
        <v>22</v>
      </c>
      <c r="B17" s="33">
        <v>128.177031</v>
      </c>
      <c r="C17" s="34" t="s">
        <v>17</v>
      </c>
      <c r="D17" s="35">
        <v>3</v>
      </c>
      <c r="E17" s="34" t="str">
        <f t="shared" si="0"/>
        <v>Europe</v>
      </c>
      <c r="F17" s="36">
        <v>2011</v>
      </c>
      <c r="G17" s="52" t="s">
        <v>18</v>
      </c>
      <c r="H17" s="59">
        <v>1.9027589101995033</v>
      </c>
      <c r="I17" s="7"/>
      <c r="J17" s="7"/>
      <c r="K17" s="7"/>
      <c r="L17" s="7"/>
      <c r="M17" s="7"/>
      <c r="N17" s="7"/>
      <c r="O17" s="7"/>
      <c r="P17" s="7"/>
      <c r="Q17" s="44"/>
      <c r="R17" s="44"/>
      <c r="S17" s="44"/>
      <c r="T17" s="44"/>
    </row>
    <row r="18" spans="1:20" s="8" customFormat="1" ht="15" x14ac:dyDescent="0.25">
      <c r="A18" s="37" t="s">
        <v>23</v>
      </c>
      <c r="B18" s="33">
        <v>991.75712699999997</v>
      </c>
      <c r="C18" s="34" t="s">
        <v>17</v>
      </c>
      <c r="D18" s="35">
        <v>2</v>
      </c>
      <c r="E18" s="34" t="str">
        <f t="shared" si="0"/>
        <v>Asia Pacific</v>
      </c>
      <c r="F18" s="36">
        <v>2011</v>
      </c>
      <c r="G18" s="52" t="s">
        <v>18</v>
      </c>
      <c r="H18" s="59">
        <v>15.398599845341318</v>
      </c>
      <c r="I18" s="7"/>
      <c r="J18" s="7"/>
      <c r="K18" s="7"/>
      <c r="L18" s="7"/>
      <c r="M18" s="7"/>
      <c r="N18" s="7"/>
      <c r="O18" s="7"/>
      <c r="P18" s="7"/>
      <c r="Q18" s="44"/>
      <c r="R18" s="44"/>
      <c r="S18" s="44"/>
      <c r="T18" s="44"/>
    </row>
    <row r="19" spans="1:20" s="8" customFormat="1" ht="15" x14ac:dyDescent="0.25">
      <c r="A19" s="37" t="s">
        <v>24</v>
      </c>
      <c r="B19" s="33">
        <v>189.12</v>
      </c>
      <c r="C19" s="34" t="s">
        <v>17</v>
      </c>
      <c r="D19" s="35">
        <v>3</v>
      </c>
      <c r="E19" s="34" t="str">
        <f t="shared" si="0"/>
        <v>Europe</v>
      </c>
      <c r="F19" s="36">
        <v>2013</v>
      </c>
      <c r="G19" s="52" t="s">
        <v>25</v>
      </c>
      <c r="H19" s="59">
        <v>6.8737132203369988</v>
      </c>
      <c r="I19" s="7"/>
      <c r="J19" s="7"/>
      <c r="K19" s="7"/>
      <c r="L19" s="7"/>
      <c r="M19" s="7"/>
      <c r="N19" s="7"/>
      <c r="O19" s="7"/>
      <c r="P19" s="7"/>
      <c r="Q19" s="44"/>
      <c r="R19" s="44"/>
      <c r="S19" s="44"/>
      <c r="T19" s="44"/>
    </row>
    <row r="20" spans="1:20" s="8" customFormat="1" ht="15" x14ac:dyDescent="0.25">
      <c r="A20" s="37" t="s">
        <v>26</v>
      </c>
      <c r="B20" s="33">
        <v>391.83103699999998</v>
      </c>
      <c r="C20" s="34" t="s">
        <v>17</v>
      </c>
      <c r="D20" s="35">
        <v>3</v>
      </c>
      <c r="E20" s="34" t="str">
        <f t="shared" si="0"/>
        <v>Europe</v>
      </c>
      <c r="F20" s="36">
        <v>2011</v>
      </c>
      <c r="G20" s="52" t="s">
        <v>18</v>
      </c>
      <c r="H20" s="59">
        <v>3.9315606089891859</v>
      </c>
      <c r="I20" s="7"/>
      <c r="J20" s="7"/>
      <c r="K20" s="7"/>
      <c r="L20" s="7"/>
      <c r="M20" s="7"/>
      <c r="N20" s="7"/>
      <c r="O20" s="7"/>
      <c r="P20" s="7"/>
      <c r="Q20" s="44"/>
      <c r="R20" s="44"/>
      <c r="S20" s="44"/>
      <c r="T20" s="44"/>
    </row>
    <row r="21" spans="1:20" s="8" customFormat="1" ht="15" x14ac:dyDescent="0.25">
      <c r="A21" s="37" t="s">
        <v>27</v>
      </c>
      <c r="B21" s="33">
        <v>726.83409200000006</v>
      </c>
      <c r="C21" s="34" t="s">
        <v>17</v>
      </c>
      <c r="D21" s="35">
        <v>2</v>
      </c>
      <c r="E21" s="34" t="str">
        <f t="shared" si="0"/>
        <v>Asia Pacific</v>
      </c>
      <c r="F21" s="36">
        <v>2011</v>
      </c>
      <c r="G21" s="52" t="s">
        <v>18</v>
      </c>
      <c r="H21" s="59">
        <v>23.449754825848906</v>
      </c>
      <c r="I21" s="7"/>
      <c r="J21" s="7"/>
      <c r="K21" s="7"/>
      <c r="L21" s="7"/>
      <c r="M21" s="7"/>
      <c r="N21" s="7"/>
      <c r="O21" s="7"/>
      <c r="P21" s="7"/>
      <c r="Q21" s="44"/>
      <c r="R21" s="44"/>
      <c r="S21" s="44"/>
      <c r="T21" s="44"/>
    </row>
    <row r="22" spans="1:20" s="8" customFormat="1" ht="15" x14ac:dyDescent="0.25">
      <c r="A22" s="37" t="s">
        <v>28</v>
      </c>
      <c r="B22" s="33">
        <v>637.1432299999999</v>
      </c>
      <c r="C22" s="34" t="s">
        <v>17</v>
      </c>
      <c r="D22" s="35">
        <v>2</v>
      </c>
      <c r="E22" s="34" t="str">
        <f t="shared" si="0"/>
        <v>Asia Pacific</v>
      </c>
      <c r="F22" s="36">
        <v>2011</v>
      </c>
      <c r="G22" s="52" t="s">
        <v>18</v>
      </c>
      <c r="H22" s="59">
        <v>0.45914196480280933</v>
      </c>
      <c r="I22" s="7"/>
      <c r="J22" s="7"/>
      <c r="K22" s="7"/>
      <c r="L22" s="7"/>
      <c r="M22" s="7"/>
      <c r="N22" s="7"/>
      <c r="O22" s="7"/>
      <c r="P22" s="7"/>
      <c r="Q22" s="44"/>
      <c r="R22" s="44"/>
      <c r="S22" s="44"/>
      <c r="T22" s="44"/>
    </row>
    <row r="23" spans="1:20" s="8" customFormat="1" ht="15" x14ac:dyDescent="0.25">
      <c r="A23" s="37" t="s">
        <v>29</v>
      </c>
      <c r="B23" s="33">
        <v>610.873739</v>
      </c>
      <c r="C23" s="34" t="s">
        <v>17</v>
      </c>
      <c r="D23" s="35">
        <v>3</v>
      </c>
      <c r="E23" s="34" t="str">
        <f t="shared" si="0"/>
        <v>Europe</v>
      </c>
      <c r="F23" s="36">
        <v>2011</v>
      </c>
      <c r="G23" s="52" t="s">
        <v>18</v>
      </c>
      <c r="H23" s="59">
        <v>6.7019577052578221</v>
      </c>
      <c r="I23" s="7"/>
      <c r="J23" s="7"/>
      <c r="K23" s="7"/>
      <c r="L23" s="7"/>
      <c r="M23" s="7"/>
      <c r="N23" s="7"/>
      <c r="O23" s="7"/>
      <c r="P23" s="7"/>
      <c r="Q23" s="44"/>
      <c r="R23" s="44"/>
      <c r="S23" s="44"/>
      <c r="T23" s="44"/>
    </row>
    <row r="24" spans="1:20" s="8" customFormat="1" ht="12.6" customHeight="1" x14ac:dyDescent="0.25">
      <c r="A24" s="37" t="s">
        <v>30</v>
      </c>
      <c r="B24" s="33">
        <v>117.78</v>
      </c>
      <c r="C24" s="34" t="s">
        <v>17</v>
      </c>
      <c r="D24" s="35">
        <v>3</v>
      </c>
      <c r="E24" s="34" t="str">
        <f t="shared" si="0"/>
        <v>Europe</v>
      </c>
      <c r="F24" s="36">
        <v>2013</v>
      </c>
      <c r="G24" s="52" t="s">
        <v>25</v>
      </c>
      <c r="H24" s="59">
        <v>8.3281598978397557</v>
      </c>
      <c r="I24" s="7"/>
      <c r="J24" s="7"/>
      <c r="K24" s="7"/>
      <c r="L24" s="7"/>
      <c r="M24" s="7"/>
      <c r="N24" s="7"/>
      <c r="O24" s="7"/>
      <c r="P24" s="7"/>
      <c r="Q24" s="44"/>
      <c r="R24" s="44"/>
      <c r="S24" s="44"/>
      <c r="T24" s="44"/>
    </row>
    <row r="25" spans="1:20" s="8" customFormat="1" ht="15" x14ac:dyDescent="0.25">
      <c r="A25" s="37" t="s">
        <v>31</v>
      </c>
      <c r="B25" s="33">
        <v>700.678676</v>
      </c>
      <c r="C25" s="34" t="s">
        <v>17</v>
      </c>
      <c r="D25" s="35">
        <v>1</v>
      </c>
      <c r="E25" s="34" t="str">
        <f t="shared" si="0"/>
        <v>Africa</v>
      </c>
      <c r="F25" s="36">
        <v>2011</v>
      </c>
      <c r="G25" s="52" t="s">
        <v>18</v>
      </c>
      <c r="H25" s="59">
        <v>0.61421385181192978</v>
      </c>
      <c r="I25" s="7"/>
      <c r="J25" s="7"/>
      <c r="K25" s="7"/>
      <c r="L25" s="7"/>
      <c r="M25" s="7"/>
      <c r="N25" s="7"/>
      <c r="O25" s="7"/>
      <c r="P25" s="7"/>
      <c r="Q25" s="44"/>
      <c r="R25" s="44"/>
      <c r="S25" s="44"/>
      <c r="T25" s="44"/>
    </row>
    <row r="26" spans="1:20" s="8" customFormat="1" ht="15" x14ac:dyDescent="0.25">
      <c r="A26" s="37" t="s">
        <v>32</v>
      </c>
      <c r="B26" s="33">
        <v>534.99687500000005</v>
      </c>
      <c r="C26" s="34" t="s">
        <v>17</v>
      </c>
      <c r="D26" s="35">
        <v>4</v>
      </c>
      <c r="E26" s="34" t="str">
        <f t="shared" si="0"/>
        <v>Lat Am/Caribbean</v>
      </c>
      <c r="F26" s="36">
        <v>2011</v>
      </c>
      <c r="G26" s="52" t="s">
        <v>18</v>
      </c>
      <c r="H26" s="59">
        <v>1.9324194987028696</v>
      </c>
      <c r="I26" s="7"/>
      <c r="J26" s="7"/>
      <c r="K26" s="7"/>
      <c r="L26" s="7"/>
      <c r="M26" s="7"/>
      <c r="N26" s="7"/>
      <c r="O26" s="7"/>
      <c r="P26" s="7"/>
      <c r="Q26" s="44"/>
      <c r="R26" s="44"/>
      <c r="S26" s="44"/>
      <c r="T26" s="44"/>
    </row>
    <row r="27" spans="1:20" s="8" customFormat="1" ht="15" x14ac:dyDescent="0.25">
      <c r="A27" s="37" t="s">
        <v>33</v>
      </c>
      <c r="B27" s="33">
        <v>309.62</v>
      </c>
      <c r="C27" s="34" t="s">
        <v>17</v>
      </c>
      <c r="D27" s="35">
        <v>3</v>
      </c>
      <c r="E27" s="34" t="str">
        <f t="shared" si="0"/>
        <v>Europe</v>
      </c>
      <c r="F27" s="36">
        <v>2013</v>
      </c>
      <c r="G27" s="52" t="s">
        <v>25</v>
      </c>
      <c r="H27" s="59">
        <v>6.234719161683028</v>
      </c>
      <c r="I27" s="7"/>
      <c r="J27" s="7"/>
      <c r="K27" s="7"/>
      <c r="L27" s="7"/>
      <c r="M27" s="7"/>
      <c r="N27" s="7"/>
      <c r="O27" s="7"/>
      <c r="P27" s="7"/>
      <c r="Q27" s="44"/>
      <c r="R27" s="44"/>
      <c r="S27" s="44"/>
      <c r="T27" s="44"/>
    </row>
    <row r="28" spans="1:20" s="8" customFormat="1" ht="15" x14ac:dyDescent="0.25">
      <c r="A28" s="37" t="s">
        <v>34</v>
      </c>
      <c r="B28" s="33">
        <v>1825.6750550000002</v>
      </c>
      <c r="C28" s="34" t="s">
        <v>17</v>
      </c>
      <c r="D28" s="35">
        <v>1</v>
      </c>
      <c r="E28" s="34" t="str">
        <f t="shared" si="0"/>
        <v>Africa</v>
      </c>
      <c r="F28" s="36">
        <v>2011</v>
      </c>
      <c r="G28" s="52" t="s">
        <v>18</v>
      </c>
      <c r="H28" s="59">
        <v>3.243287636616337</v>
      </c>
      <c r="I28" s="7"/>
      <c r="J28" s="7"/>
      <c r="K28" s="7"/>
      <c r="L28" s="7"/>
      <c r="M28" s="7"/>
      <c r="N28" s="7"/>
      <c r="O28" s="7"/>
      <c r="P28" s="7"/>
      <c r="Q28" s="44"/>
      <c r="R28" s="44"/>
      <c r="S28" s="44"/>
      <c r="T28" s="44"/>
    </row>
    <row r="29" spans="1:20" s="8" customFormat="1" ht="15" x14ac:dyDescent="0.25">
      <c r="A29" s="37" t="s">
        <v>35</v>
      </c>
      <c r="B29" s="33">
        <v>92.643637999999996</v>
      </c>
      <c r="C29" s="34" t="s">
        <v>17</v>
      </c>
      <c r="D29" s="35">
        <v>4</v>
      </c>
      <c r="E29" s="34" t="str">
        <f t="shared" si="0"/>
        <v>Lat Am/Caribbean</v>
      </c>
      <c r="F29" s="36">
        <v>2011</v>
      </c>
      <c r="G29" s="52" t="s">
        <v>18</v>
      </c>
      <c r="H29" s="59">
        <v>2.5943882854977796</v>
      </c>
      <c r="I29" s="7"/>
      <c r="J29" s="7"/>
      <c r="K29" s="7"/>
      <c r="L29" s="7"/>
      <c r="M29" s="7"/>
      <c r="N29" s="7"/>
      <c r="O29" s="7"/>
      <c r="P29" s="7"/>
      <c r="Q29" s="44"/>
      <c r="R29" s="44"/>
      <c r="S29" s="44"/>
      <c r="T29" s="44"/>
    </row>
    <row r="30" spans="1:20" s="8" customFormat="1" ht="15" x14ac:dyDescent="0.25">
      <c r="A30" s="37" t="s">
        <v>36</v>
      </c>
      <c r="B30" s="33">
        <v>819.49880799999994</v>
      </c>
      <c r="C30" s="34" t="s">
        <v>17</v>
      </c>
      <c r="D30" s="35">
        <v>2</v>
      </c>
      <c r="E30" s="34" t="str">
        <f t="shared" si="0"/>
        <v>Asia Pacific</v>
      </c>
      <c r="F30" s="36">
        <v>2011</v>
      </c>
      <c r="G30" s="52" t="s">
        <v>18</v>
      </c>
      <c r="H30" s="59">
        <v>22.12470124166877</v>
      </c>
      <c r="I30" s="7"/>
      <c r="J30" s="7"/>
      <c r="K30" s="7"/>
      <c r="L30" s="7"/>
      <c r="M30" s="7"/>
      <c r="N30" s="7"/>
      <c r="O30" s="7"/>
      <c r="P30" s="7"/>
      <c r="Q30" s="44"/>
      <c r="R30" s="44"/>
      <c r="S30" s="44"/>
      <c r="T30" s="44"/>
    </row>
    <row r="31" spans="1:20" s="8" customFormat="1" ht="15" x14ac:dyDescent="0.25">
      <c r="A31" s="37" t="s">
        <v>37</v>
      </c>
      <c r="B31" s="33">
        <v>509.23</v>
      </c>
      <c r="C31" s="34" t="s">
        <v>17</v>
      </c>
      <c r="D31" s="35">
        <v>3</v>
      </c>
      <c r="E31" s="34" t="str">
        <f t="shared" si="0"/>
        <v>Europe</v>
      </c>
      <c r="F31" s="36">
        <v>2013</v>
      </c>
      <c r="G31" s="52" t="s">
        <v>25</v>
      </c>
      <c r="H31" s="59">
        <v>5.871615869349931</v>
      </c>
      <c r="I31" s="7"/>
      <c r="J31" s="7"/>
      <c r="K31" s="7"/>
      <c r="L31" s="7"/>
      <c r="M31" s="7"/>
      <c r="N31" s="7"/>
      <c r="O31" s="7"/>
      <c r="P31" s="7"/>
      <c r="Q31" s="44"/>
      <c r="R31" s="44"/>
      <c r="S31" s="44"/>
      <c r="T31" s="44"/>
    </row>
    <row r="32" spans="1:20" s="8" customFormat="1" ht="15" x14ac:dyDescent="0.25">
      <c r="A32" s="37" t="s">
        <v>38</v>
      </c>
      <c r="B32" s="33">
        <v>1170.839671</v>
      </c>
      <c r="C32" s="34" t="s">
        <v>17</v>
      </c>
      <c r="D32" s="35">
        <v>2</v>
      </c>
      <c r="E32" s="34" t="str">
        <f t="shared" si="0"/>
        <v>Asia Pacific</v>
      </c>
      <c r="F32" s="36">
        <v>2011</v>
      </c>
      <c r="G32" s="52" t="s">
        <v>18</v>
      </c>
      <c r="H32" s="59">
        <v>0.43775999800927129</v>
      </c>
      <c r="I32" s="7"/>
      <c r="J32" s="7"/>
      <c r="K32" s="7"/>
      <c r="L32" s="7"/>
      <c r="M32" s="7"/>
      <c r="N32" s="7"/>
      <c r="O32" s="7"/>
      <c r="P32" s="7"/>
      <c r="Q32" s="44"/>
      <c r="R32" s="44"/>
      <c r="S32" s="44"/>
      <c r="T32" s="44"/>
    </row>
    <row r="33" spans="1:20" s="8" customFormat="1" ht="15" x14ac:dyDescent="0.25">
      <c r="A33" s="37" t="s">
        <v>39</v>
      </c>
      <c r="B33" s="33">
        <v>216.568535</v>
      </c>
      <c r="C33" s="34" t="s">
        <v>17</v>
      </c>
      <c r="D33" s="35">
        <v>1</v>
      </c>
      <c r="E33" s="34" t="str">
        <f t="shared" si="0"/>
        <v>Africa</v>
      </c>
      <c r="F33" s="36">
        <v>2011</v>
      </c>
      <c r="G33" s="52" t="s">
        <v>18</v>
      </c>
      <c r="H33" s="59">
        <v>0.31492806803482604</v>
      </c>
      <c r="I33" s="7"/>
      <c r="J33" s="7"/>
      <c r="K33" s="7"/>
      <c r="L33" s="7"/>
      <c r="M33" s="7"/>
      <c r="N33" s="7"/>
      <c r="O33" s="7"/>
      <c r="P33" s="7"/>
      <c r="Q33" s="44"/>
      <c r="R33" s="44"/>
      <c r="S33" s="44"/>
      <c r="T33" s="44"/>
    </row>
    <row r="34" spans="1:20" s="8" customFormat="1" ht="15" x14ac:dyDescent="0.25">
      <c r="A34" s="37" t="s">
        <v>40</v>
      </c>
      <c r="B34" s="33">
        <v>179.76332500000001</v>
      </c>
      <c r="C34" s="34" t="s">
        <v>17</v>
      </c>
      <c r="D34" s="35">
        <v>5</v>
      </c>
      <c r="E34" s="34" t="str">
        <f t="shared" si="0"/>
        <v>North America</v>
      </c>
      <c r="F34" s="36">
        <v>2011</v>
      </c>
      <c r="G34" s="52" t="s">
        <v>18</v>
      </c>
      <c r="H34" s="59">
        <v>15.113239200233263</v>
      </c>
      <c r="I34" s="7"/>
      <c r="J34" s="7"/>
      <c r="K34" s="7"/>
      <c r="L34" s="7"/>
      <c r="M34" s="7"/>
      <c r="N34" s="7"/>
      <c r="O34" s="7"/>
      <c r="P34" s="7"/>
      <c r="Q34" s="44"/>
      <c r="R34" s="44"/>
      <c r="S34" s="44"/>
      <c r="T34" s="44"/>
    </row>
    <row r="35" spans="1:20" s="8" customFormat="1" ht="15" x14ac:dyDescent="0.25">
      <c r="A35" s="37" t="s">
        <v>41</v>
      </c>
      <c r="B35" s="33">
        <v>408.614261</v>
      </c>
      <c r="C35" s="34" t="s">
        <v>17</v>
      </c>
      <c r="D35" s="35">
        <v>4</v>
      </c>
      <c r="E35" s="34" t="str">
        <f t="shared" si="0"/>
        <v>Lat Am/Caribbean</v>
      </c>
      <c r="F35" s="36">
        <v>2011</v>
      </c>
      <c r="G35" s="52" t="s">
        <v>18</v>
      </c>
      <c r="H35" s="59">
        <v>4.6873766237128418</v>
      </c>
      <c r="I35" s="7"/>
      <c r="J35" s="7"/>
      <c r="K35" s="7"/>
      <c r="L35" s="7"/>
      <c r="M35" s="7"/>
      <c r="N35" s="7"/>
      <c r="O35" s="7"/>
      <c r="P35" s="7"/>
      <c r="Q35" s="44"/>
      <c r="R35" s="44"/>
      <c r="S35" s="44"/>
      <c r="T35" s="44"/>
    </row>
    <row r="36" spans="1:20" s="8" customFormat="1" ht="12.75" customHeight="1" x14ac:dyDescent="0.25">
      <c r="A36" s="37" t="s">
        <v>42</v>
      </c>
      <c r="B36" s="33">
        <v>974.62491299999999</v>
      </c>
      <c r="C36" s="34" t="s">
        <v>17</v>
      </c>
      <c r="D36" s="35">
        <v>2</v>
      </c>
      <c r="E36" s="34" t="str">
        <f t="shared" si="0"/>
        <v>Asia Pacific</v>
      </c>
      <c r="F36" s="36">
        <v>2011</v>
      </c>
      <c r="G36" s="52" t="s">
        <v>18</v>
      </c>
      <c r="H36" s="59">
        <v>7.5439076414492741</v>
      </c>
      <c r="I36" s="7"/>
      <c r="J36" s="7"/>
      <c r="K36" s="7"/>
      <c r="L36" s="7"/>
      <c r="M36" s="7"/>
      <c r="N36" s="7"/>
      <c r="O36" s="7"/>
      <c r="P36" s="7"/>
      <c r="Q36" s="44"/>
      <c r="R36" s="44"/>
      <c r="S36" s="44"/>
      <c r="T36" s="44"/>
    </row>
    <row r="37" spans="1:20" s="8" customFormat="1" ht="12.75" customHeight="1" x14ac:dyDescent="0.25">
      <c r="A37" s="37" t="s">
        <v>43</v>
      </c>
      <c r="B37" s="33">
        <v>578.26193499999999</v>
      </c>
      <c r="C37" s="34" t="s">
        <v>17</v>
      </c>
      <c r="D37" s="35">
        <v>2</v>
      </c>
      <c r="E37" s="34" t="str">
        <f t="shared" si="0"/>
        <v>Asia Pacific</v>
      </c>
      <c r="F37" s="36">
        <v>2011</v>
      </c>
      <c r="G37" s="52" t="s">
        <v>18</v>
      </c>
      <c r="H37" s="59">
        <v>7.5439076414492741</v>
      </c>
      <c r="I37" s="7"/>
      <c r="J37" s="7"/>
      <c r="K37" s="7"/>
      <c r="L37" s="7"/>
      <c r="M37" s="7"/>
      <c r="N37" s="7"/>
      <c r="O37" s="7"/>
      <c r="P37" s="7"/>
      <c r="Q37" s="44"/>
      <c r="R37" s="44"/>
      <c r="S37" s="44"/>
      <c r="T37" s="44"/>
    </row>
    <row r="38" spans="1:20" s="8" customFormat="1" ht="12.75" customHeight="1" x14ac:dyDescent="0.25">
      <c r="A38" s="37" t="s">
        <v>44</v>
      </c>
      <c r="B38" s="33">
        <v>111.425218</v>
      </c>
      <c r="C38" s="34" t="s">
        <v>17</v>
      </c>
      <c r="D38" s="35">
        <v>4</v>
      </c>
      <c r="E38" s="34" t="str">
        <f t="shared" si="0"/>
        <v>Lat Am/Caribbean</v>
      </c>
      <c r="F38" s="36">
        <v>2011</v>
      </c>
      <c r="G38" s="52" t="s">
        <v>18</v>
      </c>
      <c r="H38" s="59">
        <v>1.7595371735606053</v>
      </c>
      <c r="I38" s="7"/>
      <c r="J38" s="7"/>
      <c r="K38" s="7"/>
      <c r="L38" s="7"/>
      <c r="M38" s="7"/>
      <c r="N38" s="7"/>
      <c r="O38" s="7"/>
      <c r="P38" s="7"/>
      <c r="Q38" s="44"/>
      <c r="R38" s="44"/>
      <c r="S38" s="44"/>
      <c r="T38" s="44"/>
    </row>
    <row r="39" spans="1:20" s="8" customFormat="1" ht="12.75" customHeight="1" x14ac:dyDescent="0.25">
      <c r="A39" s="37" t="s">
        <v>45</v>
      </c>
      <c r="B39" s="33">
        <v>120.10997800000001</v>
      </c>
      <c r="C39" s="34" t="s">
        <v>17</v>
      </c>
      <c r="D39" s="35">
        <v>1</v>
      </c>
      <c r="E39" s="34" t="str">
        <f t="shared" si="0"/>
        <v>Africa</v>
      </c>
      <c r="F39" s="36">
        <v>2011</v>
      </c>
      <c r="G39" s="52" t="s">
        <v>18</v>
      </c>
      <c r="H39" s="59">
        <v>0.63536929330761149</v>
      </c>
      <c r="I39" s="7"/>
      <c r="J39" s="7"/>
      <c r="K39" s="7"/>
      <c r="L39" s="7"/>
      <c r="M39" s="7"/>
      <c r="N39" s="7"/>
      <c r="O39" s="7"/>
      <c r="P39" s="7"/>
      <c r="Q39" s="44"/>
      <c r="R39" s="44"/>
      <c r="S39" s="44"/>
      <c r="T39" s="44"/>
    </row>
    <row r="40" spans="1:20" s="8" customFormat="1" ht="12.75" customHeight="1" x14ac:dyDescent="0.25">
      <c r="A40" s="37" t="s">
        <v>46</v>
      </c>
      <c r="B40" s="33">
        <v>4.1586059999999998</v>
      </c>
      <c r="C40" s="34" t="s">
        <v>17</v>
      </c>
      <c r="D40" s="35">
        <v>1</v>
      </c>
      <c r="E40" s="34" t="str">
        <f t="shared" si="0"/>
        <v>Africa</v>
      </c>
      <c r="F40" s="36">
        <v>2011</v>
      </c>
      <c r="G40" s="52" t="s">
        <v>18</v>
      </c>
      <c r="H40" s="59">
        <v>6.3369191048746609E-2</v>
      </c>
      <c r="I40" s="7"/>
      <c r="J40" s="7"/>
      <c r="K40" s="7"/>
      <c r="L40" s="7"/>
      <c r="M40" s="7"/>
      <c r="N40" s="7"/>
      <c r="O40" s="7"/>
      <c r="P40" s="7"/>
      <c r="Q40" s="44"/>
      <c r="R40" s="44"/>
      <c r="S40" s="44"/>
      <c r="T40" s="44"/>
    </row>
    <row r="41" spans="1:20" s="8" customFormat="1" ht="15" x14ac:dyDescent="0.25">
      <c r="A41" s="37" t="s">
        <v>47</v>
      </c>
      <c r="B41" s="33">
        <v>63.756360999999998</v>
      </c>
      <c r="C41" s="34" t="s">
        <v>17</v>
      </c>
      <c r="D41" s="35">
        <v>4</v>
      </c>
      <c r="E41" s="34" t="str">
        <f t="shared" si="0"/>
        <v>Lat Am/Caribbean</v>
      </c>
      <c r="F41" s="36">
        <v>2011</v>
      </c>
      <c r="G41" s="52" t="s">
        <v>18</v>
      </c>
      <c r="H41" s="59">
        <v>1.6309510622533541</v>
      </c>
      <c r="I41" s="7"/>
      <c r="J41" s="7"/>
      <c r="K41" s="7"/>
      <c r="L41" s="7"/>
      <c r="M41" s="7"/>
      <c r="N41" s="7"/>
      <c r="O41" s="7"/>
      <c r="P41" s="7"/>
      <c r="Q41" s="44"/>
      <c r="R41" s="44"/>
      <c r="S41" s="44"/>
      <c r="T41" s="44"/>
    </row>
    <row r="42" spans="1:20" s="8" customFormat="1" ht="15" x14ac:dyDescent="0.25">
      <c r="A42" s="37" t="s">
        <v>48</v>
      </c>
      <c r="B42" s="33">
        <v>501.17933800000003</v>
      </c>
      <c r="C42" s="34" t="s">
        <v>17</v>
      </c>
      <c r="D42" s="35">
        <v>1</v>
      </c>
      <c r="E42" s="34" t="str">
        <f t="shared" si="0"/>
        <v>Africa</v>
      </c>
      <c r="F42" s="36">
        <v>2011</v>
      </c>
      <c r="G42" s="52" t="s">
        <v>18</v>
      </c>
      <c r="H42" s="59">
        <v>0.49020604624223579</v>
      </c>
      <c r="I42" s="7"/>
      <c r="J42" s="7"/>
      <c r="K42" s="7"/>
      <c r="L42" s="7"/>
      <c r="M42" s="7"/>
      <c r="N42" s="7"/>
      <c r="O42" s="7"/>
      <c r="P42" s="7"/>
      <c r="Q42" s="44"/>
      <c r="R42" s="44"/>
      <c r="S42" s="44"/>
      <c r="T42" s="44"/>
    </row>
    <row r="43" spans="1:20" s="8" customFormat="1" ht="15" x14ac:dyDescent="0.25">
      <c r="A43" s="37" t="s">
        <v>49</v>
      </c>
      <c r="B43" s="33">
        <v>386.45836400000002</v>
      </c>
      <c r="C43" s="34" t="s">
        <v>17</v>
      </c>
      <c r="D43" s="35">
        <v>3</v>
      </c>
      <c r="E43" s="34" t="str">
        <f t="shared" si="0"/>
        <v>Europe</v>
      </c>
      <c r="F43" s="36">
        <v>2011</v>
      </c>
      <c r="G43" s="52" t="s">
        <v>18</v>
      </c>
      <c r="H43" s="59">
        <v>3.9738049055903075</v>
      </c>
      <c r="I43" s="7"/>
      <c r="J43" s="7"/>
      <c r="K43" s="7"/>
      <c r="L43" s="7"/>
      <c r="M43" s="7"/>
      <c r="N43" s="7"/>
      <c r="O43" s="7"/>
      <c r="P43" s="7"/>
      <c r="Q43" s="44"/>
      <c r="R43" s="44"/>
      <c r="S43" s="44"/>
      <c r="T43" s="44"/>
    </row>
    <row r="44" spans="1:20" s="8" customFormat="1" ht="15" x14ac:dyDescent="0.25">
      <c r="A44" s="37" t="s">
        <v>50</v>
      </c>
      <c r="B44" s="33">
        <v>938.086187</v>
      </c>
      <c r="C44" s="34" t="s">
        <v>17</v>
      </c>
      <c r="D44" s="35">
        <v>4</v>
      </c>
      <c r="E44" s="34" t="str">
        <f t="shared" si="0"/>
        <v>Lat Am/Caribbean</v>
      </c>
      <c r="F44" s="36">
        <v>2011</v>
      </c>
      <c r="G44" s="52" t="s">
        <v>18</v>
      </c>
      <c r="H44" s="59">
        <v>3.0452106236079808</v>
      </c>
      <c r="I44" s="7"/>
      <c r="J44" s="7"/>
      <c r="K44" s="7"/>
      <c r="L44" s="7"/>
      <c r="M44" s="7"/>
      <c r="N44" s="7"/>
      <c r="O44" s="7"/>
      <c r="P44" s="7"/>
      <c r="Q44" s="44"/>
      <c r="R44" s="44"/>
      <c r="S44" s="44"/>
      <c r="T44" s="44"/>
    </row>
    <row r="45" spans="1:20" s="8" customFormat="1" ht="15" x14ac:dyDescent="0.25">
      <c r="A45" s="37" t="s">
        <v>51</v>
      </c>
      <c r="B45" s="33">
        <v>869.89</v>
      </c>
      <c r="C45" s="34" t="s">
        <v>17</v>
      </c>
      <c r="D45" s="35">
        <v>3</v>
      </c>
      <c r="E45" s="34" t="str">
        <f t="shared" si="0"/>
        <v>Europe</v>
      </c>
      <c r="F45" s="36">
        <v>2013</v>
      </c>
      <c r="G45" s="52" t="s">
        <v>25</v>
      </c>
      <c r="H45" s="59">
        <v>5.2603520409890061</v>
      </c>
      <c r="I45" s="7"/>
      <c r="J45" s="7"/>
      <c r="K45" s="7"/>
      <c r="L45" s="7"/>
      <c r="M45" s="7"/>
      <c r="N45" s="7"/>
      <c r="O45" s="7"/>
      <c r="P45" s="7"/>
      <c r="Q45" s="44"/>
      <c r="R45" s="44"/>
      <c r="S45" s="44"/>
      <c r="T45" s="44"/>
    </row>
    <row r="46" spans="1:20" s="8" customFormat="1" ht="15" x14ac:dyDescent="0.25">
      <c r="A46" s="37" t="s">
        <v>52</v>
      </c>
      <c r="B46" s="33">
        <v>547.35</v>
      </c>
      <c r="C46" s="34" t="s">
        <v>17</v>
      </c>
      <c r="D46" s="35">
        <v>3</v>
      </c>
      <c r="E46" s="34" t="str">
        <f t="shared" si="0"/>
        <v>Europe</v>
      </c>
      <c r="F46" s="36">
        <v>2013</v>
      </c>
      <c r="G46" s="52" t="s">
        <v>25</v>
      </c>
      <c r="H46" s="59">
        <v>9.1659783758198206</v>
      </c>
      <c r="I46" s="7"/>
      <c r="J46" s="7"/>
      <c r="K46" s="7"/>
      <c r="L46" s="7"/>
      <c r="M46" s="7"/>
      <c r="N46" s="7"/>
      <c r="O46" s="7"/>
      <c r="P46" s="7"/>
      <c r="Q46" s="44"/>
      <c r="R46" s="44"/>
      <c r="S46" s="44"/>
      <c r="T46" s="44"/>
    </row>
    <row r="47" spans="1:20" s="8" customFormat="1" ht="15" x14ac:dyDescent="0.25">
      <c r="A47" s="37" t="s">
        <v>53</v>
      </c>
      <c r="B47" s="33">
        <v>634.98</v>
      </c>
      <c r="C47" s="34" t="s">
        <v>17</v>
      </c>
      <c r="D47" s="35">
        <v>3</v>
      </c>
      <c r="E47" s="34" t="str">
        <f t="shared" si="0"/>
        <v>Europe</v>
      </c>
      <c r="F47" s="36">
        <v>2013</v>
      </c>
      <c r="G47" s="52" t="s">
        <v>25</v>
      </c>
      <c r="H47" s="59">
        <v>5.9357124821143001</v>
      </c>
      <c r="I47" s="7"/>
      <c r="J47" s="7"/>
      <c r="K47" s="7"/>
      <c r="L47" s="7"/>
      <c r="M47" s="7"/>
      <c r="N47" s="7"/>
      <c r="O47" s="7"/>
      <c r="P47" s="7"/>
      <c r="Q47" s="44"/>
      <c r="R47" s="44"/>
      <c r="S47" s="44"/>
      <c r="T47" s="44"/>
    </row>
    <row r="48" spans="1:20" s="8" customFormat="1" ht="15" x14ac:dyDescent="0.25">
      <c r="A48" s="37" t="s">
        <v>54</v>
      </c>
      <c r="B48" s="33">
        <v>641.74172799999997</v>
      </c>
      <c r="C48" s="34" t="s">
        <v>17</v>
      </c>
      <c r="D48" s="35">
        <v>4</v>
      </c>
      <c r="E48" s="34" t="str">
        <f t="shared" si="0"/>
        <v>Lat Am/Caribbean</v>
      </c>
      <c r="F48" s="36">
        <v>2011</v>
      </c>
      <c r="G48" s="52" t="s">
        <v>18</v>
      </c>
      <c r="H48" s="59">
        <v>2.069986634433497</v>
      </c>
      <c r="I48" s="7"/>
      <c r="J48" s="7"/>
      <c r="K48" s="7"/>
      <c r="L48" s="7"/>
      <c r="M48" s="7"/>
      <c r="N48" s="7"/>
      <c r="O48" s="7"/>
      <c r="P48" s="7"/>
      <c r="Q48" s="44"/>
      <c r="R48" s="44"/>
      <c r="S48" s="44"/>
      <c r="T48" s="44"/>
    </row>
    <row r="49" spans="1:20" s="8" customFormat="1" ht="15" x14ac:dyDescent="0.25">
      <c r="A49" s="37" t="s">
        <v>55</v>
      </c>
      <c r="B49" s="33">
        <v>269.61384300000003</v>
      </c>
      <c r="C49" s="34" t="s">
        <v>17</v>
      </c>
      <c r="D49" s="35">
        <v>4</v>
      </c>
      <c r="E49" s="34" t="str">
        <f t="shared" si="0"/>
        <v>Lat Am/Caribbean</v>
      </c>
      <c r="F49" s="36">
        <v>2011</v>
      </c>
      <c r="G49" s="52" t="s">
        <v>18</v>
      </c>
      <c r="H49" s="59">
        <v>2.7617021750208384</v>
      </c>
      <c r="I49" s="7"/>
      <c r="J49" s="7"/>
      <c r="K49" s="7"/>
      <c r="L49" s="7"/>
      <c r="M49" s="7"/>
      <c r="N49" s="7"/>
      <c r="O49" s="7"/>
      <c r="P49" s="7"/>
      <c r="Q49" s="44"/>
      <c r="R49" s="44"/>
      <c r="S49" s="44"/>
      <c r="T49" s="44"/>
    </row>
    <row r="50" spans="1:20" s="8" customFormat="1" ht="15" x14ac:dyDescent="0.25">
      <c r="A50" s="37" t="s">
        <v>56</v>
      </c>
      <c r="B50" s="33">
        <v>500.88609500000001</v>
      </c>
      <c r="C50" s="34" t="s">
        <v>17</v>
      </c>
      <c r="D50" s="35">
        <v>1</v>
      </c>
      <c r="E50" s="34" t="str">
        <f t="shared" si="0"/>
        <v>Africa</v>
      </c>
      <c r="F50" s="36">
        <v>2011</v>
      </c>
      <c r="G50" s="52" t="s">
        <v>18</v>
      </c>
      <c r="H50" s="59">
        <v>2.1989802463423143</v>
      </c>
      <c r="I50" s="7"/>
      <c r="J50" s="7"/>
      <c r="K50" s="7"/>
      <c r="L50" s="7"/>
      <c r="M50" s="7"/>
      <c r="N50" s="7"/>
      <c r="O50" s="7"/>
      <c r="P50" s="7"/>
      <c r="Q50" s="44"/>
      <c r="R50" s="44"/>
      <c r="S50" s="44"/>
      <c r="T50" s="44"/>
    </row>
    <row r="51" spans="1:20" s="8" customFormat="1" ht="15" x14ac:dyDescent="0.25">
      <c r="A51" s="37" t="s">
        <v>57</v>
      </c>
      <c r="B51" s="33">
        <v>256.07279199999999</v>
      </c>
      <c r="C51" s="34" t="s">
        <v>17</v>
      </c>
      <c r="D51" s="35">
        <v>4</v>
      </c>
      <c r="E51" s="34" t="str">
        <f t="shared" si="0"/>
        <v>Lat Am/Caribbean</v>
      </c>
      <c r="F51" s="36">
        <v>2011</v>
      </c>
      <c r="G51" s="52" t="s">
        <v>18</v>
      </c>
      <c r="H51" s="59">
        <v>1.0006446231756441</v>
      </c>
      <c r="I51" s="7"/>
      <c r="J51" s="7"/>
      <c r="K51" s="7"/>
      <c r="L51" s="7"/>
      <c r="M51" s="7"/>
      <c r="N51" s="7"/>
      <c r="O51" s="7"/>
      <c r="P51" s="7"/>
      <c r="Q51" s="44"/>
      <c r="R51" s="44"/>
      <c r="S51" s="44"/>
      <c r="T51" s="44"/>
    </row>
    <row r="52" spans="1:20" s="8" customFormat="1" ht="15" x14ac:dyDescent="0.25">
      <c r="A52" s="37" t="s">
        <v>58</v>
      </c>
      <c r="B52" s="33">
        <v>677.99163799999997</v>
      </c>
      <c r="C52" s="34" t="s">
        <v>17</v>
      </c>
      <c r="D52" s="35">
        <v>1</v>
      </c>
      <c r="E52" s="34" t="str">
        <f t="shared" si="0"/>
        <v>Africa</v>
      </c>
      <c r="F52" s="36">
        <v>2011</v>
      </c>
      <c r="G52" s="52" t="s">
        <v>18</v>
      </c>
      <c r="H52" s="59">
        <v>3.9675444884523263</v>
      </c>
      <c r="I52" s="7"/>
      <c r="J52" s="7"/>
      <c r="K52" s="7"/>
      <c r="L52" s="7"/>
      <c r="M52" s="7"/>
      <c r="N52" s="7"/>
      <c r="O52" s="7"/>
      <c r="P52" s="7"/>
      <c r="Q52" s="44"/>
      <c r="R52" s="44"/>
      <c r="S52" s="44"/>
      <c r="T52" s="44"/>
    </row>
    <row r="53" spans="1:20" s="8" customFormat="1" ht="15" x14ac:dyDescent="0.25">
      <c r="A53" s="37" t="s">
        <v>59</v>
      </c>
      <c r="B53" s="33">
        <v>1142.24</v>
      </c>
      <c r="C53" s="34" t="s">
        <v>17</v>
      </c>
      <c r="D53" s="35">
        <v>3</v>
      </c>
      <c r="E53" s="34" t="str">
        <f t="shared" si="0"/>
        <v>Europe</v>
      </c>
      <c r="F53" s="36">
        <v>2013</v>
      </c>
      <c r="G53" s="52" t="s">
        <v>25</v>
      </c>
      <c r="H53" s="59">
        <v>14.848819173173986</v>
      </c>
      <c r="I53" s="7"/>
      <c r="J53" s="7"/>
      <c r="K53" s="7"/>
      <c r="L53" s="7"/>
      <c r="M53" s="7"/>
      <c r="N53" s="7"/>
      <c r="O53" s="7"/>
      <c r="P53" s="7"/>
      <c r="Q53" s="44"/>
      <c r="R53" s="44"/>
      <c r="S53" s="44"/>
      <c r="T53" s="44"/>
    </row>
    <row r="54" spans="1:20" s="8" customFormat="1" ht="15" x14ac:dyDescent="0.25">
      <c r="A54" s="37" t="s">
        <v>60</v>
      </c>
      <c r="B54" s="33">
        <v>118.94845099999999</v>
      </c>
      <c r="C54" s="34" t="s">
        <v>17</v>
      </c>
      <c r="D54" s="35">
        <v>1</v>
      </c>
      <c r="E54" s="34" t="str">
        <f t="shared" si="0"/>
        <v>Africa</v>
      </c>
      <c r="F54" s="36">
        <v>2011</v>
      </c>
      <c r="G54" s="52" t="s">
        <v>18</v>
      </c>
      <c r="H54" s="59">
        <v>0.1191240145226543</v>
      </c>
      <c r="I54" s="7"/>
      <c r="J54" s="7"/>
      <c r="K54" s="7"/>
      <c r="L54" s="7"/>
      <c r="M54" s="7"/>
      <c r="N54" s="7"/>
      <c r="O54" s="7"/>
      <c r="P54" s="7"/>
      <c r="Q54" s="44"/>
      <c r="R54" s="44"/>
      <c r="S54" s="44"/>
      <c r="T54" s="44"/>
    </row>
    <row r="55" spans="1:20" s="8" customFormat="1" ht="15" x14ac:dyDescent="0.25">
      <c r="A55" s="37" t="s">
        <v>61</v>
      </c>
      <c r="B55" s="33">
        <v>417.44</v>
      </c>
      <c r="C55" s="34" t="s">
        <v>17</v>
      </c>
      <c r="D55" s="35">
        <v>3</v>
      </c>
      <c r="E55" s="34" t="str">
        <f t="shared" si="0"/>
        <v>Europe</v>
      </c>
      <c r="F55" s="36">
        <v>2013</v>
      </c>
      <c r="G55" s="52" t="s">
        <v>25</v>
      </c>
      <c r="H55" s="59">
        <v>8.6607212434944767</v>
      </c>
      <c r="I55" s="7"/>
      <c r="J55" s="7"/>
      <c r="K55" s="7"/>
      <c r="L55" s="7"/>
      <c r="M55" s="7"/>
      <c r="N55" s="7"/>
      <c r="O55" s="7"/>
      <c r="P55" s="7"/>
      <c r="Q55" s="44"/>
      <c r="R55" s="44"/>
      <c r="S55" s="44"/>
      <c r="T55" s="44"/>
    </row>
    <row r="56" spans="1:20" s="8" customFormat="1" ht="15" x14ac:dyDescent="0.25">
      <c r="A56" s="37" t="s">
        <v>62</v>
      </c>
      <c r="B56" s="33">
        <v>63.63</v>
      </c>
      <c r="C56" s="34" t="s">
        <v>17</v>
      </c>
      <c r="D56" s="35">
        <v>3</v>
      </c>
      <c r="E56" s="34" t="str">
        <f t="shared" si="0"/>
        <v>Europe</v>
      </c>
      <c r="F56" s="36">
        <v>2013</v>
      </c>
      <c r="G56" s="52" t="s">
        <v>25</v>
      </c>
      <c r="H56" s="59">
        <v>4.5720883525266718</v>
      </c>
      <c r="I56" s="7"/>
      <c r="J56" s="7"/>
      <c r="K56" s="7"/>
      <c r="L56" s="7"/>
      <c r="M56" s="7"/>
      <c r="N56" s="7"/>
      <c r="O56" s="7"/>
      <c r="P56" s="7"/>
      <c r="Q56" s="44"/>
      <c r="R56" s="44"/>
      <c r="S56" s="44"/>
      <c r="T56" s="44"/>
    </row>
    <row r="57" spans="1:20" s="8" customFormat="1" ht="15" x14ac:dyDescent="0.25">
      <c r="A57" s="37" t="s">
        <v>63</v>
      </c>
      <c r="B57" s="33">
        <v>425.18888199999998</v>
      </c>
      <c r="C57" s="34" t="s">
        <v>17</v>
      </c>
      <c r="D57" s="35">
        <v>1</v>
      </c>
      <c r="E57" s="34" t="str">
        <f t="shared" si="0"/>
        <v>Africa</v>
      </c>
      <c r="F57" s="36">
        <v>2011</v>
      </c>
      <c r="G57" s="52" t="s">
        <v>18</v>
      </c>
      <c r="H57" s="59">
        <v>2.7682657208218955</v>
      </c>
      <c r="I57" s="7"/>
      <c r="J57" s="7"/>
      <c r="K57" s="7"/>
      <c r="L57" s="7"/>
      <c r="M57" s="7"/>
      <c r="N57" s="7"/>
      <c r="O57" s="7"/>
      <c r="P57" s="7"/>
      <c r="Q57" s="44"/>
      <c r="R57" s="44"/>
      <c r="S57" s="44"/>
      <c r="T57" s="44"/>
    </row>
    <row r="58" spans="1:20" s="8" customFormat="1" ht="15" x14ac:dyDescent="0.25">
      <c r="A58" s="37" t="s">
        <v>64</v>
      </c>
      <c r="B58" s="33">
        <v>89.456935999999999</v>
      </c>
      <c r="C58" s="34" t="s">
        <v>17</v>
      </c>
      <c r="D58" s="35">
        <v>3</v>
      </c>
      <c r="E58" s="34" t="str">
        <f t="shared" si="0"/>
        <v>Europe</v>
      </c>
      <c r="F58" s="36">
        <v>2011</v>
      </c>
      <c r="G58" s="52" t="s">
        <v>18</v>
      </c>
      <c r="H58" s="59">
        <v>2.4115419908773812</v>
      </c>
      <c r="I58" s="7"/>
      <c r="J58" s="7"/>
      <c r="K58" s="7"/>
      <c r="L58" s="7"/>
      <c r="M58" s="7"/>
      <c r="N58" s="7"/>
      <c r="O58" s="7"/>
      <c r="P58" s="7"/>
      <c r="Q58" s="44"/>
      <c r="R58" s="44"/>
      <c r="S58" s="44"/>
      <c r="T58" s="44"/>
    </row>
    <row r="59" spans="1:20" s="8" customFormat="1" ht="15" x14ac:dyDescent="0.25">
      <c r="A59" s="37" t="s">
        <v>65</v>
      </c>
      <c r="B59" s="33">
        <v>784.56</v>
      </c>
      <c r="C59" s="34" t="s">
        <v>17</v>
      </c>
      <c r="D59" s="35">
        <v>3</v>
      </c>
      <c r="E59" s="34" t="str">
        <f t="shared" si="0"/>
        <v>Europe</v>
      </c>
      <c r="F59" s="36">
        <v>2013</v>
      </c>
      <c r="G59" s="52" t="s">
        <v>25</v>
      </c>
      <c r="H59" s="59">
        <v>8.8893703948383909</v>
      </c>
      <c r="I59" s="7"/>
      <c r="J59" s="7"/>
      <c r="K59" s="7"/>
      <c r="L59" s="7"/>
      <c r="M59" s="7"/>
      <c r="N59" s="7"/>
      <c r="O59" s="7"/>
      <c r="P59" s="7"/>
      <c r="Q59" s="44"/>
      <c r="R59" s="44"/>
      <c r="S59" s="44"/>
      <c r="T59" s="44"/>
    </row>
    <row r="60" spans="1:20" s="8" customFormat="1" ht="15" x14ac:dyDescent="0.25">
      <c r="A60" s="37" t="s">
        <v>66</v>
      </c>
      <c r="B60" s="33">
        <v>214.76750899999999</v>
      </c>
      <c r="C60" s="34" t="s">
        <v>17</v>
      </c>
      <c r="D60" s="35">
        <v>1</v>
      </c>
      <c r="E60" s="34" t="str">
        <f t="shared" si="0"/>
        <v>Africa</v>
      </c>
      <c r="F60" s="36">
        <v>2011</v>
      </c>
      <c r="G60" s="52" t="s">
        <v>18</v>
      </c>
      <c r="H60" s="59">
        <v>0.53653337778014654</v>
      </c>
      <c r="I60" s="7"/>
      <c r="J60" s="7"/>
      <c r="K60" s="7"/>
      <c r="L60" s="7"/>
      <c r="M60" s="7"/>
      <c r="N60" s="7"/>
      <c r="O60" s="7"/>
      <c r="P60" s="7"/>
      <c r="Q60" s="44"/>
      <c r="R60" s="44"/>
      <c r="S60" s="44"/>
      <c r="T60" s="44"/>
    </row>
    <row r="61" spans="1:20" s="8" customFormat="1" ht="15" x14ac:dyDescent="0.25">
      <c r="A61" s="37" t="s">
        <v>67</v>
      </c>
      <c r="B61" s="33">
        <v>772.32144599999992</v>
      </c>
      <c r="C61" s="34" t="s">
        <v>17</v>
      </c>
      <c r="D61" s="35">
        <v>3</v>
      </c>
      <c r="E61" s="34" t="str">
        <f t="shared" si="0"/>
        <v>Europe</v>
      </c>
      <c r="F61" s="36">
        <v>2011</v>
      </c>
      <c r="G61" s="52" t="s">
        <v>18</v>
      </c>
      <c r="H61" s="59">
        <v>15.5134849286092</v>
      </c>
      <c r="I61" s="7"/>
      <c r="J61" s="7"/>
      <c r="K61" s="7"/>
      <c r="L61" s="7"/>
      <c r="M61" s="7"/>
      <c r="N61" s="7"/>
      <c r="O61" s="7"/>
      <c r="P61" s="7"/>
      <c r="Q61" s="44"/>
      <c r="R61" s="44"/>
      <c r="S61" s="44"/>
      <c r="T61" s="44"/>
    </row>
    <row r="62" spans="1:20" s="8" customFormat="1" ht="15" x14ac:dyDescent="0.25">
      <c r="A62" s="37" t="s">
        <v>68</v>
      </c>
      <c r="B62" s="33">
        <v>895.29</v>
      </c>
      <c r="C62" s="34" t="s">
        <v>17</v>
      </c>
      <c r="D62" s="35">
        <v>3</v>
      </c>
      <c r="E62" s="34" t="str">
        <f t="shared" si="0"/>
        <v>Europe</v>
      </c>
      <c r="F62" s="36">
        <v>2013</v>
      </c>
      <c r="G62" s="52" t="s">
        <v>25</v>
      </c>
      <c r="H62" s="59">
        <v>6.1803372677844655</v>
      </c>
      <c r="I62" s="7"/>
      <c r="J62" s="7"/>
      <c r="K62" s="7"/>
      <c r="L62" s="7"/>
      <c r="M62" s="7"/>
      <c r="N62" s="7"/>
      <c r="O62" s="7"/>
      <c r="P62" s="7"/>
      <c r="Q62" s="44"/>
      <c r="R62" s="44"/>
      <c r="S62" s="44"/>
      <c r="T62" s="44"/>
    </row>
    <row r="63" spans="1:20" s="8" customFormat="1" ht="15" x14ac:dyDescent="0.25">
      <c r="A63" s="37" t="s">
        <v>69</v>
      </c>
      <c r="B63" s="33">
        <v>341.53493600000002</v>
      </c>
      <c r="C63" s="34" t="s">
        <v>17</v>
      </c>
      <c r="D63" s="35">
        <v>4</v>
      </c>
      <c r="E63" s="34" t="str">
        <f t="shared" si="0"/>
        <v>Lat Am/Caribbean</v>
      </c>
      <c r="F63" s="36">
        <v>2011</v>
      </c>
      <c r="G63" s="52" t="s">
        <v>18</v>
      </c>
      <c r="H63" s="59">
        <v>1.1509779943039116</v>
      </c>
      <c r="I63" s="7"/>
      <c r="J63" s="7"/>
      <c r="K63" s="7"/>
      <c r="L63" s="7"/>
      <c r="M63" s="7"/>
      <c r="N63" s="7"/>
      <c r="O63" s="7"/>
      <c r="P63" s="7"/>
      <c r="Q63" s="44"/>
      <c r="R63" s="44"/>
      <c r="S63" s="44"/>
      <c r="T63" s="44"/>
    </row>
    <row r="64" spans="1:20" s="8" customFormat="1" ht="15" x14ac:dyDescent="0.25">
      <c r="A64" s="37" t="s">
        <v>70</v>
      </c>
      <c r="B64" s="33">
        <v>483.325309</v>
      </c>
      <c r="C64" s="34" t="s">
        <v>17</v>
      </c>
      <c r="D64" s="35">
        <v>4</v>
      </c>
      <c r="E64" s="34" t="str">
        <f t="shared" si="0"/>
        <v>Lat Am/Caribbean</v>
      </c>
      <c r="F64" s="36">
        <v>2011</v>
      </c>
      <c r="G64" s="52" t="s">
        <v>18</v>
      </c>
      <c r="H64" s="59">
        <v>0.27053858579445894</v>
      </c>
      <c r="I64" s="7"/>
      <c r="J64" s="7"/>
      <c r="K64" s="7"/>
      <c r="L64" s="7"/>
      <c r="M64" s="7"/>
      <c r="N64" s="7"/>
      <c r="O64" s="7"/>
      <c r="P64" s="7"/>
      <c r="Q64" s="44"/>
      <c r="R64" s="44"/>
      <c r="S64" s="44"/>
      <c r="T64" s="44"/>
    </row>
    <row r="65" spans="1:20" s="8" customFormat="1" ht="15" x14ac:dyDescent="0.25">
      <c r="A65" s="37" t="s">
        <v>71</v>
      </c>
      <c r="B65" s="33">
        <v>415.48735199999999</v>
      </c>
      <c r="C65" s="34" t="s">
        <v>17</v>
      </c>
      <c r="D65" s="35">
        <v>4</v>
      </c>
      <c r="E65" s="34" t="str">
        <f t="shared" si="0"/>
        <v>Lat Am/Caribbean</v>
      </c>
      <c r="F65" s="36">
        <v>2011</v>
      </c>
      <c r="G65" s="52" t="s">
        <v>18</v>
      </c>
      <c r="H65" s="59">
        <v>1.075221790452181</v>
      </c>
      <c r="I65" s="7"/>
      <c r="J65" s="7"/>
      <c r="K65" s="7"/>
      <c r="L65" s="7"/>
      <c r="M65" s="7"/>
      <c r="N65" s="7"/>
      <c r="O65" s="7"/>
      <c r="P65" s="7"/>
      <c r="Q65" s="44"/>
      <c r="R65" s="44"/>
      <c r="S65" s="44"/>
      <c r="T65" s="44"/>
    </row>
    <row r="66" spans="1:20" s="8" customFormat="1" ht="15" x14ac:dyDescent="0.25">
      <c r="A66" s="37" t="s">
        <v>72</v>
      </c>
      <c r="B66" s="33">
        <v>786.68063200000006</v>
      </c>
      <c r="C66" s="34" t="s">
        <v>17</v>
      </c>
      <c r="D66" s="35">
        <v>2</v>
      </c>
      <c r="E66" s="34" t="str">
        <f t="shared" si="0"/>
        <v>Asia Pacific</v>
      </c>
      <c r="F66" s="36">
        <v>2011</v>
      </c>
      <c r="G66" s="52" t="s">
        <v>18</v>
      </c>
      <c r="H66" s="59">
        <v>6.382829308035407</v>
      </c>
      <c r="I66" s="7"/>
      <c r="J66" s="7"/>
      <c r="K66" s="7"/>
      <c r="L66" s="7"/>
      <c r="M66" s="7"/>
      <c r="N66" s="7"/>
      <c r="O66" s="7"/>
      <c r="P66" s="7"/>
      <c r="Q66" s="44"/>
      <c r="R66" s="44"/>
      <c r="S66" s="44"/>
      <c r="T66" s="44"/>
    </row>
    <row r="67" spans="1:20" s="8" customFormat="1" ht="15" x14ac:dyDescent="0.25">
      <c r="A67" s="37" t="s">
        <v>73</v>
      </c>
      <c r="B67" s="33">
        <v>374.62</v>
      </c>
      <c r="C67" s="34" t="s">
        <v>17</v>
      </c>
      <c r="D67" s="35">
        <v>3</v>
      </c>
      <c r="E67" s="34" t="str">
        <f t="shared" si="0"/>
        <v>Europe</v>
      </c>
      <c r="F67" s="36">
        <v>2013</v>
      </c>
      <c r="G67" s="52" t="s">
        <v>25</v>
      </c>
      <c r="H67" s="59">
        <v>4.2655749757664037</v>
      </c>
      <c r="I67" s="7"/>
      <c r="J67" s="7"/>
      <c r="K67" s="7"/>
      <c r="L67" s="7"/>
      <c r="M67" s="7"/>
      <c r="N67" s="7"/>
      <c r="O67" s="7"/>
      <c r="P67" s="7"/>
      <c r="Q67" s="44"/>
      <c r="R67" s="44"/>
      <c r="S67" s="44"/>
      <c r="T67" s="44"/>
    </row>
    <row r="68" spans="1:20" s="8" customFormat="1" ht="15" x14ac:dyDescent="0.25">
      <c r="A68" s="37" t="s">
        <v>74</v>
      </c>
      <c r="B68" s="33">
        <v>0.19348400000000002</v>
      </c>
      <c r="C68" s="34" t="s">
        <v>17</v>
      </c>
      <c r="D68" s="35">
        <v>3</v>
      </c>
      <c r="E68" s="34" t="str">
        <f t="shared" si="0"/>
        <v>Europe</v>
      </c>
      <c r="F68" s="36">
        <v>2011</v>
      </c>
      <c r="G68" s="52" t="s">
        <v>18</v>
      </c>
      <c r="H68" s="59">
        <v>6.0596574074639715</v>
      </c>
      <c r="I68" s="7"/>
      <c r="J68" s="7"/>
      <c r="K68" s="7"/>
      <c r="L68" s="7"/>
      <c r="M68" s="7"/>
      <c r="N68" s="7"/>
      <c r="O68" s="7"/>
      <c r="P68" s="7"/>
      <c r="Q68" s="44"/>
      <c r="R68" s="44"/>
      <c r="S68" s="44"/>
      <c r="T68" s="44"/>
    </row>
    <row r="69" spans="1:20" s="8" customFormat="1" ht="15" x14ac:dyDescent="0.25">
      <c r="A69" s="37" t="s">
        <v>75</v>
      </c>
      <c r="B69" s="33">
        <v>1333.174843</v>
      </c>
      <c r="C69" s="34" t="s">
        <v>17</v>
      </c>
      <c r="D69" s="35">
        <v>2</v>
      </c>
      <c r="E69" s="34" t="str">
        <f t="shared" si="0"/>
        <v>Asia Pacific</v>
      </c>
      <c r="F69" s="36">
        <v>2011</v>
      </c>
      <c r="G69" s="52" t="s">
        <v>18</v>
      </c>
      <c r="H69" s="59">
        <v>1.73000043156161</v>
      </c>
      <c r="I69" s="7"/>
      <c r="J69" s="7"/>
      <c r="K69" s="7"/>
      <c r="L69" s="7"/>
      <c r="M69" s="7"/>
      <c r="N69" s="7"/>
      <c r="O69" s="7"/>
      <c r="P69" s="7"/>
      <c r="Q69" s="44"/>
      <c r="R69" s="44"/>
      <c r="S69" s="44"/>
      <c r="T69" s="44"/>
    </row>
    <row r="70" spans="1:20" s="8" customFormat="1" ht="15" x14ac:dyDescent="0.25">
      <c r="A70" s="37" t="s">
        <v>76</v>
      </c>
      <c r="B70" s="33">
        <v>684.69397700000002</v>
      </c>
      <c r="C70" s="34" t="s">
        <v>17</v>
      </c>
      <c r="D70" s="35">
        <v>2</v>
      </c>
      <c r="E70" s="34" t="str">
        <f t="shared" si="0"/>
        <v>Asia Pacific</v>
      </c>
      <c r="F70" s="36">
        <v>2011</v>
      </c>
      <c r="G70" s="52" t="s">
        <v>18</v>
      </c>
      <c r="H70" s="59">
        <v>1.8193633190551324</v>
      </c>
      <c r="I70" s="7"/>
      <c r="J70" s="7"/>
      <c r="K70" s="7"/>
      <c r="L70" s="7"/>
      <c r="M70" s="7"/>
      <c r="N70" s="7"/>
      <c r="O70" s="7"/>
      <c r="P70" s="7"/>
      <c r="Q70" s="44"/>
      <c r="R70" s="44"/>
      <c r="S70" s="44"/>
      <c r="T70" s="44"/>
    </row>
    <row r="71" spans="1:20" s="8" customFormat="1" ht="15" x14ac:dyDescent="0.25">
      <c r="A71" s="37" t="s">
        <v>77</v>
      </c>
      <c r="B71" s="33">
        <v>631.113877</v>
      </c>
      <c r="C71" s="34" t="s">
        <v>17</v>
      </c>
      <c r="D71" s="35">
        <v>2</v>
      </c>
      <c r="E71" s="34" t="str">
        <f t="shared" si="0"/>
        <v>Asia Pacific</v>
      </c>
      <c r="F71" s="36">
        <v>2011</v>
      </c>
      <c r="G71" s="52" t="s">
        <v>18</v>
      </c>
      <c r="H71" s="59">
        <v>8.283020787416147</v>
      </c>
      <c r="I71" s="7"/>
      <c r="J71" s="7"/>
      <c r="K71" s="7"/>
      <c r="L71" s="7"/>
      <c r="M71" s="7"/>
      <c r="N71" s="7"/>
      <c r="O71" s="7"/>
      <c r="P71" s="7"/>
      <c r="Q71" s="44"/>
      <c r="R71" s="44"/>
      <c r="S71" s="44"/>
      <c r="T71" s="44"/>
    </row>
    <row r="72" spans="1:20" s="8" customFormat="1" ht="15" x14ac:dyDescent="0.25">
      <c r="A72" s="37" t="s">
        <v>78</v>
      </c>
      <c r="B72" s="33">
        <v>820.61462600000004</v>
      </c>
      <c r="C72" s="34" t="s">
        <v>17</v>
      </c>
      <c r="D72" s="35">
        <v>2</v>
      </c>
      <c r="E72" s="34" t="str">
        <f t="shared" si="0"/>
        <v>Asia Pacific</v>
      </c>
      <c r="F72" s="36">
        <v>2011</v>
      </c>
      <c r="G72" s="52" t="s">
        <v>18</v>
      </c>
      <c r="H72" s="59">
        <v>4.8118396861345225</v>
      </c>
      <c r="I72" s="7"/>
      <c r="J72" s="7"/>
      <c r="K72" s="7"/>
      <c r="L72" s="7"/>
      <c r="M72" s="7"/>
      <c r="N72" s="7"/>
      <c r="O72" s="7"/>
      <c r="P72" s="7"/>
      <c r="Q72" s="44"/>
      <c r="R72" s="44"/>
      <c r="S72" s="44"/>
      <c r="T72" s="44"/>
    </row>
    <row r="73" spans="1:20" s="8" customFormat="1" ht="15" x14ac:dyDescent="0.25">
      <c r="A73" s="37" t="s">
        <v>79</v>
      </c>
      <c r="B73" s="33">
        <v>467.5</v>
      </c>
      <c r="C73" s="34" t="s">
        <v>17</v>
      </c>
      <c r="D73" s="35">
        <v>3</v>
      </c>
      <c r="E73" s="34" t="str">
        <f t="shared" si="0"/>
        <v>Europe</v>
      </c>
      <c r="F73" s="36">
        <v>2015</v>
      </c>
      <c r="G73" s="53" t="s">
        <v>80</v>
      </c>
      <c r="H73" s="59">
        <v>7.378117808857052</v>
      </c>
      <c r="I73" s="7"/>
      <c r="J73" s="7"/>
      <c r="K73" s="7"/>
      <c r="L73" s="7"/>
      <c r="M73" s="7"/>
      <c r="N73" s="7"/>
      <c r="O73" s="7"/>
      <c r="P73" s="7"/>
      <c r="Q73" s="44"/>
      <c r="R73" s="44"/>
      <c r="S73" s="44"/>
      <c r="T73" s="44"/>
    </row>
    <row r="74" spans="1:20" s="8" customFormat="1" ht="15" x14ac:dyDescent="0.25">
      <c r="A74" s="37" t="s">
        <v>81</v>
      </c>
      <c r="B74" s="33">
        <v>740.30352400000004</v>
      </c>
      <c r="C74" s="34" t="s">
        <v>17</v>
      </c>
      <c r="D74" s="35">
        <v>3</v>
      </c>
      <c r="E74" s="34" t="str">
        <f t="shared" si="0"/>
        <v>Europe</v>
      </c>
      <c r="F74" s="36">
        <v>2011</v>
      </c>
      <c r="G74" s="52" t="s">
        <v>18</v>
      </c>
      <c r="H74" s="59">
        <v>7.863181347907056</v>
      </c>
      <c r="I74" s="7"/>
      <c r="J74" s="7"/>
      <c r="K74" s="7"/>
      <c r="L74" s="7"/>
      <c r="M74" s="7"/>
      <c r="N74" s="7"/>
      <c r="O74" s="7"/>
      <c r="P74" s="7"/>
      <c r="Q74" s="44"/>
      <c r="R74" s="44"/>
      <c r="S74" s="44"/>
      <c r="T74" s="44"/>
    </row>
    <row r="75" spans="1:20" s="8" customFormat="1" ht="15" x14ac:dyDescent="0.25">
      <c r="A75" s="37" t="s">
        <v>82</v>
      </c>
      <c r="B75" s="33">
        <v>511.17</v>
      </c>
      <c r="C75" s="34" t="s">
        <v>17</v>
      </c>
      <c r="D75" s="35">
        <v>3</v>
      </c>
      <c r="E75" s="34" t="str">
        <f t="shared" si="0"/>
        <v>Europe</v>
      </c>
      <c r="F75" s="36">
        <v>2013</v>
      </c>
      <c r="G75" s="52" t="s">
        <v>25</v>
      </c>
      <c r="H75" s="59">
        <v>5.2708667864029648</v>
      </c>
      <c r="I75" s="7"/>
      <c r="J75" s="7"/>
      <c r="K75" s="7"/>
      <c r="L75" s="7"/>
      <c r="M75" s="7"/>
      <c r="N75" s="7"/>
      <c r="O75" s="7"/>
      <c r="P75" s="7"/>
      <c r="Q75" s="44"/>
      <c r="R75" s="44"/>
      <c r="S75" s="44"/>
      <c r="T75" s="44"/>
    </row>
    <row r="76" spans="1:20" s="8" customFormat="1" ht="15" x14ac:dyDescent="0.25">
      <c r="A76" s="37" t="s">
        <v>83</v>
      </c>
      <c r="B76" s="33">
        <v>796.10623300000009</v>
      </c>
      <c r="C76" s="34" t="s">
        <v>17</v>
      </c>
      <c r="D76" s="35">
        <v>4</v>
      </c>
      <c r="E76" s="34" t="str">
        <f t="shared" si="0"/>
        <v>Lat Am/Caribbean</v>
      </c>
      <c r="F76" s="36">
        <v>2011</v>
      </c>
      <c r="G76" s="52" t="s">
        <v>18</v>
      </c>
      <c r="H76" s="59">
        <v>2.5932153704621839</v>
      </c>
      <c r="I76" s="7"/>
      <c r="J76" s="7"/>
      <c r="K76" s="7"/>
      <c r="L76" s="7"/>
      <c r="M76" s="7"/>
      <c r="N76" s="7"/>
      <c r="O76" s="7"/>
      <c r="P76" s="7"/>
      <c r="Q76" s="44"/>
      <c r="R76" s="44"/>
      <c r="S76" s="44"/>
      <c r="T76" s="44"/>
    </row>
    <row r="77" spans="1:20" s="8" customFormat="1" ht="15" x14ac:dyDescent="0.25">
      <c r="A77" s="37" t="s">
        <v>84</v>
      </c>
      <c r="B77" s="33">
        <v>443.35684800000001</v>
      </c>
      <c r="C77" s="34" t="s">
        <v>17</v>
      </c>
      <c r="D77" s="35">
        <v>2</v>
      </c>
      <c r="E77" s="34" t="str">
        <f t="shared" si="0"/>
        <v>Asia Pacific</v>
      </c>
      <c r="F77" s="36">
        <v>2011</v>
      </c>
      <c r="G77" s="52" t="s">
        <v>18</v>
      </c>
      <c r="H77" s="59">
        <v>9.5387061032716307</v>
      </c>
      <c r="I77" s="7"/>
      <c r="J77" s="7"/>
      <c r="K77" s="7"/>
      <c r="L77" s="7"/>
      <c r="M77" s="7"/>
      <c r="N77" s="7"/>
      <c r="O77" s="7"/>
      <c r="P77" s="7"/>
      <c r="Q77" s="44"/>
      <c r="R77" s="44"/>
      <c r="S77" s="44"/>
      <c r="T77" s="44"/>
    </row>
    <row r="78" spans="1:20" s="8" customFormat="1" ht="15" x14ac:dyDescent="0.25">
      <c r="A78" s="37" t="s">
        <v>85</v>
      </c>
      <c r="B78" s="33">
        <v>643.92444899999998</v>
      </c>
      <c r="C78" s="34" t="s">
        <v>17</v>
      </c>
      <c r="D78" s="35">
        <v>2</v>
      </c>
      <c r="E78" s="34" t="str">
        <f t="shared" ref="E78:E141" si="1">+VLOOKUP(D78,$D$5:$E$9,2)</f>
        <v>Asia Pacific</v>
      </c>
      <c r="F78" s="36">
        <v>2011</v>
      </c>
      <c r="G78" s="52" t="s">
        <v>18</v>
      </c>
      <c r="H78" s="59">
        <v>3.0025147270397916</v>
      </c>
      <c r="I78" s="7"/>
      <c r="J78" s="7"/>
      <c r="K78" s="7"/>
      <c r="L78" s="7"/>
      <c r="M78" s="7"/>
      <c r="N78" s="7"/>
      <c r="O78" s="7"/>
      <c r="P78" s="7"/>
      <c r="Q78" s="44"/>
      <c r="R78" s="44"/>
      <c r="S78" s="44"/>
      <c r="T78" s="44"/>
    </row>
    <row r="79" spans="1:20" s="8" customFormat="1" ht="15" x14ac:dyDescent="0.25">
      <c r="A79" s="37" t="s">
        <v>86</v>
      </c>
      <c r="B79" s="33">
        <v>923.18140500000004</v>
      </c>
      <c r="C79" s="34" t="s">
        <v>17</v>
      </c>
      <c r="D79" s="35">
        <v>2</v>
      </c>
      <c r="E79" s="34" t="str">
        <f t="shared" si="1"/>
        <v>Asia Pacific</v>
      </c>
      <c r="F79" s="36">
        <v>2011</v>
      </c>
      <c r="G79" s="52" t="s">
        <v>18</v>
      </c>
      <c r="H79" s="59">
        <v>14.362389659593743</v>
      </c>
      <c r="I79" s="7"/>
      <c r="J79" s="7"/>
      <c r="K79" s="7"/>
      <c r="L79" s="7"/>
      <c r="M79" s="7"/>
      <c r="N79" s="7"/>
      <c r="O79" s="7"/>
      <c r="P79" s="7"/>
      <c r="Q79" s="44"/>
      <c r="R79" s="44"/>
      <c r="S79" s="44"/>
      <c r="T79" s="44"/>
    </row>
    <row r="80" spans="1:20" s="8" customFormat="1" ht="15" x14ac:dyDescent="0.25">
      <c r="A80" s="37" t="s">
        <v>87</v>
      </c>
      <c r="B80" s="33">
        <v>332.29778300000004</v>
      </c>
      <c r="C80" s="34" t="s">
        <v>17</v>
      </c>
      <c r="D80" s="35">
        <v>1</v>
      </c>
      <c r="E80" s="34" t="str">
        <f t="shared" si="1"/>
        <v>Africa</v>
      </c>
      <c r="F80" s="36">
        <v>2011</v>
      </c>
      <c r="G80" s="52" t="s">
        <v>18</v>
      </c>
      <c r="H80" s="59">
        <v>0.31041531366616509</v>
      </c>
      <c r="I80" s="7"/>
      <c r="J80" s="7"/>
      <c r="K80" s="7"/>
      <c r="L80" s="7"/>
      <c r="M80" s="7"/>
      <c r="N80" s="7"/>
      <c r="O80" s="7"/>
      <c r="P80" s="7"/>
      <c r="Q80" s="44"/>
      <c r="R80" s="44"/>
      <c r="S80" s="44"/>
      <c r="T80" s="44"/>
    </row>
    <row r="81" spans="1:20" s="8" customFormat="1" ht="15" x14ac:dyDescent="0.25">
      <c r="A81" s="37" t="s">
        <v>88</v>
      </c>
      <c r="B81" s="33">
        <v>494.65892500000001</v>
      </c>
      <c r="C81" s="34" t="s">
        <v>17</v>
      </c>
      <c r="D81" s="35">
        <v>2</v>
      </c>
      <c r="E81" s="34" t="str">
        <f t="shared" si="1"/>
        <v>Asia Pacific</v>
      </c>
      <c r="F81" s="36">
        <v>2011</v>
      </c>
      <c r="G81" s="52" t="s">
        <v>18</v>
      </c>
      <c r="H81" s="59">
        <v>1.6135968412305557</v>
      </c>
      <c r="I81" s="7"/>
      <c r="J81" s="7"/>
      <c r="K81" s="7"/>
      <c r="L81" s="7"/>
      <c r="M81" s="7"/>
      <c r="N81" s="7"/>
      <c r="O81" s="7"/>
      <c r="P81" s="7"/>
      <c r="Q81" s="44"/>
      <c r="R81" s="44"/>
      <c r="S81" s="44"/>
      <c r="T81" s="44"/>
    </row>
    <row r="82" spans="1:20" s="8" customFormat="1" ht="15" x14ac:dyDescent="0.25">
      <c r="A82" s="37" t="s">
        <v>89</v>
      </c>
      <c r="B82" s="33">
        <v>504.37766199999999</v>
      </c>
      <c r="C82" s="34" t="s">
        <v>17</v>
      </c>
      <c r="D82" s="35">
        <v>2</v>
      </c>
      <c r="E82" s="34" t="str">
        <f t="shared" si="1"/>
        <v>Asia Pacific</v>
      </c>
      <c r="F82" s="36">
        <v>2011</v>
      </c>
      <c r="G82" s="52" t="s">
        <v>18</v>
      </c>
      <c r="H82" s="59">
        <v>11.570345409340149</v>
      </c>
      <c r="I82" s="7"/>
      <c r="J82" s="7"/>
      <c r="K82" s="7"/>
      <c r="L82" s="7"/>
      <c r="M82" s="7"/>
      <c r="N82" s="7"/>
      <c r="O82" s="7"/>
      <c r="P82" s="7"/>
      <c r="Q82" s="44"/>
      <c r="R82" s="44"/>
      <c r="S82" s="44"/>
      <c r="T82" s="44"/>
    </row>
    <row r="83" spans="1:20" s="8" customFormat="1" ht="15" x14ac:dyDescent="0.25">
      <c r="A83" s="37" t="s">
        <v>90</v>
      </c>
      <c r="B83" s="33">
        <v>637.31692900000007</v>
      </c>
      <c r="C83" s="34" t="s">
        <v>17</v>
      </c>
      <c r="D83" s="35">
        <v>2</v>
      </c>
      <c r="E83" s="34" t="str">
        <f t="shared" si="1"/>
        <v>Asia Pacific</v>
      </c>
      <c r="F83" s="36">
        <v>2011</v>
      </c>
      <c r="G83" s="52" t="s">
        <v>18</v>
      </c>
      <c r="H83" s="59">
        <v>25.223864426496053</v>
      </c>
      <c r="I83" s="7"/>
      <c r="J83" s="7"/>
      <c r="K83" s="7"/>
      <c r="L83" s="7"/>
      <c r="M83" s="7"/>
      <c r="N83" s="7"/>
      <c r="O83" s="7"/>
      <c r="P83" s="7"/>
      <c r="Q83" s="44"/>
      <c r="R83" s="44"/>
      <c r="S83" s="44"/>
      <c r="T83" s="44"/>
    </row>
    <row r="84" spans="1:20" s="8" customFormat="1" ht="15" x14ac:dyDescent="0.25">
      <c r="A84" s="37" t="s">
        <v>91</v>
      </c>
      <c r="B84" s="33">
        <v>91.404272999999989</v>
      </c>
      <c r="C84" s="34" t="s">
        <v>17</v>
      </c>
      <c r="D84" s="35">
        <v>2</v>
      </c>
      <c r="E84" s="34" t="str">
        <f t="shared" si="1"/>
        <v>Asia Pacific</v>
      </c>
      <c r="F84" s="36">
        <v>2011</v>
      </c>
      <c r="G84" s="52" t="s">
        <v>18</v>
      </c>
      <c r="H84" s="59">
        <v>1.6463953388741326</v>
      </c>
      <c r="I84" s="7"/>
      <c r="J84" s="7"/>
      <c r="K84" s="7"/>
      <c r="L84" s="7"/>
      <c r="M84" s="7"/>
      <c r="N84" s="7"/>
      <c r="O84" s="7"/>
      <c r="P84" s="7"/>
      <c r="Q84" s="44"/>
      <c r="R84" s="44"/>
      <c r="S84" s="44"/>
      <c r="T84" s="44"/>
    </row>
    <row r="85" spans="1:20" s="8" customFormat="1" ht="15" x14ac:dyDescent="0.25">
      <c r="A85" s="37" t="s">
        <v>92</v>
      </c>
      <c r="B85" s="33">
        <v>202.43</v>
      </c>
      <c r="C85" s="34" t="s">
        <v>17</v>
      </c>
      <c r="D85" s="35">
        <v>3</v>
      </c>
      <c r="E85" s="34" t="str">
        <f t="shared" si="1"/>
        <v>Europe</v>
      </c>
      <c r="F85" s="36">
        <v>2013</v>
      </c>
      <c r="G85" s="52" t="s">
        <v>25</v>
      </c>
      <c r="H85" s="59">
        <v>3.4981928816691097</v>
      </c>
      <c r="I85" s="7"/>
      <c r="J85" s="7"/>
      <c r="K85" s="7"/>
      <c r="L85" s="7"/>
      <c r="M85" s="7"/>
      <c r="N85" s="7"/>
      <c r="O85" s="7"/>
      <c r="P85" s="7"/>
      <c r="Q85" s="44"/>
      <c r="R85" s="44"/>
      <c r="S85" s="44"/>
      <c r="T85" s="44"/>
    </row>
    <row r="86" spans="1:20" s="8" customFormat="1" ht="15" x14ac:dyDescent="0.25">
      <c r="A86" s="37" t="s">
        <v>93</v>
      </c>
      <c r="B86" s="33">
        <v>694.75568600000008</v>
      </c>
      <c r="C86" s="34" t="s">
        <v>17</v>
      </c>
      <c r="D86" s="35">
        <v>2</v>
      </c>
      <c r="E86" s="34" t="str">
        <f t="shared" si="1"/>
        <v>Asia Pacific</v>
      </c>
      <c r="F86" s="36">
        <v>2011</v>
      </c>
      <c r="G86" s="52" t="s">
        <v>18</v>
      </c>
      <c r="H86" s="59">
        <v>4.2957325523144574</v>
      </c>
      <c r="I86" s="7"/>
      <c r="J86" s="7"/>
      <c r="K86" s="7"/>
      <c r="L86" s="7"/>
      <c r="M86" s="7"/>
      <c r="N86" s="7"/>
      <c r="O86" s="7"/>
      <c r="P86" s="7"/>
      <c r="Q86" s="44"/>
      <c r="R86" s="44"/>
      <c r="S86" s="44"/>
      <c r="T86" s="44"/>
    </row>
    <row r="87" spans="1:20" s="8" customFormat="1" ht="15" x14ac:dyDescent="0.25">
      <c r="A87" s="37" t="s">
        <v>94</v>
      </c>
      <c r="B87" s="33">
        <v>919.6290459999999</v>
      </c>
      <c r="C87" s="34" t="s">
        <v>17</v>
      </c>
      <c r="D87" s="35">
        <v>1</v>
      </c>
      <c r="E87" s="34" t="str">
        <f t="shared" si="1"/>
        <v>Africa</v>
      </c>
      <c r="F87" s="36">
        <v>2011</v>
      </c>
      <c r="G87" s="52" t="s">
        <v>18</v>
      </c>
      <c r="H87" s="59">
        <v>9.1868453934070775</v>
      </c>
      <c r="I87" s="7"/>
      <c r="J87" s="7"/>
      <c r="K87" s="7"/>
      <c r="L87" s="7"/>
      <c r="M87" s="7"/>
      <c r="N87" s="7"/>
      <c r="O87" s="7"/>
      <c r="P87" s="7"/>
      <c r="Q87" s="44"/>
      <c r="R87" s="44"/>
      <c r="S87" s="44"/>
      <c r="T87" s="44"/>
    </row>
    <row r="88" spans="1:20" s="8" customFormat="1" ht="15" x14ac:dyDescent="0.25">
      <c r="A88" s="37" t="s">
        <v>95</v>
      </c>
      <c r="B88" s="33">
        <v>495.59</v>
      </c>
      <c r="C88" s="34" t="s">
        <v>17</v>
      </c>
      <c r="D88" s="35">
        <v>3</v>
      </c>
      <c r="E88" s="34" t="str">
        <f t="shared" si="1"/>
        <v>Europe</v>
      </c>
      <c r="F88" s="36">
        <v>2013</v>
      </c>
      <c r="G88" s="52" t="s">
        <v>25</v>
      </c>
      <c r="H88" s="59">
        <v>4.3780901230985068</v>
      </c>
      <c r="I88" s="7"/>
      <c r="J88" s="7"/>
      <c r="K88" s="7"/>
      <c r="L88" s="7"/>
      <c r="M88" s="7"/>
      <c r="N88" s="7"/>
      <c r="O88" s="7"/>
      <c r="P88" s="7"/>
      <c r="Q88" s="44"/>
      <c r="R88" s="44"/>
      <c r="S88" s="44"/>
      <c r="T88" s="44"/>
    </row>
    <row r="89" spans="1:20" s="8" customFormat="1" ht="15" x14ac:dyDescent="0.25">
      <c r="A89" s="37" t="s">
        <v>96</v>
      </c>
      <c r="B89" s="33">
        <v>442.5</v>
      </c>
      <c r="C89" s="34" t="s">
        <v>17</v>
      </c>
      <c r="D89" s="35">
        <v>3</v>
      </c>
      <c r="E89" s="34" t="str">
        <f t="shared" si="1"/>
        <v>Europe</v>
      </c>
      <c r="F89" s="36">
        <v>2013</v>
      </c>
      <c r="G89" s="52" t="s">
        <v>25</v>
      </c>
      <c r="H89" s="59">
        <v>17.362121372809487</v>
      </c>
      <c r="I89" s="7"/>
      <c r="J89" s="7"/>
      <c r="K89" s="7"/>
      <c r="L89" s="7"/>
      <c r="M89" s="7"/>
      <c r="N89" s="7"/>
      <c r="O89" s="7"/>
      <c r="P89" s="7"/>
      <c r="Q89" s="44"/>
      <c r="R89" s="44"/>
      <c r="S89" s="44"/>
      <c r="T89" s="44"/>
    </row>
    <row r="90" spans="1:20" s="8" customFormat="1" ht="15" x14ac:dyDescent="0.25">
      <c r="A90" s="37" t="s">
        <v>97</v>
      </c>
      <c r="B90" s="33">
        <v>1940.6436000000001</v>
      </c>
      <c r="C90" s="34" t="s">
        <v>17</v>
      </c>
      <c r="D90" s="35">
        <v>3</v>
      </c>
      <c r="E90" s="34" t="str">
        <f t="shared" si="1"/>
        <v>Europe</v>
      </c>
      <c r="F90" s="36">
        <v>2011</v>
      </c>
      <c r="G90" s="52" t="s">
        <v>18</v>
      </c>
      <c r="H90" s="59">
        <v>3.614938182763376</v>
      </c>
      <c r="I90" s="7"/>
      <c r="J90" s="7"/>
      <c r="K90" s="7"/>
      <c r="L90" s="7"/>
      <c r="M90" s="7"/>
      <c r="N90" s="7"/>
      <c r="O90" s="7"/>
      <c r="P90" s="7"/>
      <c r="Q90" s="44"/>
      <c r="R90" s="44"/>
      <c r="S90" s="44"/>
      <c r="T90" s="44"/>
    </row>
    <row r="91" spans="1:20" s="8" customFormat="1" ht="15" x14ac:dyDescent="0.25">
      <c r="A91" s="37" t="s">
        <v>98</v>
      </c>
      <c r="B91" s="33">
        <v>748.84244000000001</v>
      </c>
      <c r="C91" s="34" t="s">
        <v>17</v>
      </c>
      <c r="D91" s="35">
        <v>2</v>
      </c>
      <c r="E91" s="34" t="str">
        <f t="shared" si="1"/>
        <v>Asia Pacific</v>
      </c>
      <c r="F91" s="36">
        <v>2011</v>
      </c>
      <c r="G91" s="52" t="s">
        <v>18</v>
      </c>
      <c r="H91" s="59">
        <v>8.0329915786404378</v>
      </c>
      <c r="I91" s="7"/>
      <c r="J91" s="7"/>
      <c r="K91" s="7"/>
      <c r="L91" s="7"/>
      <c r="M91" s="7"/>
      <c r="N91" s="7"/>
      <c r="O91" s="7"/>
      <c r="P91" s="7"/>
      <c r="Q91" s="44"/>
      <c r="R91" s="44"/>
      <c r="S91" s="44"/>
      <c r="T91" s="44"/>
    </row>
    <row r="92" spans="1:20" s="8" customFormat="1" ht="15" x14ac:dyDescent="0.25">
      <c r="A92" s="37" t="s">
        <v>99</v>
      </c>
      <c r="B92" s="33">
        <v>920</v>
      </c>
      <c r="C92" s="34" t="s">
        <v>17</v>
      </c>
      <c r="D92" s="35">
        <v>3</v>
      </c>
      <c r="E92" s="34" t="str">
        <f t="shared" si="1"/>
        <v>Europe</v>
      </c>
      <c r="F92" s="36">
        <v>2013</v>
      </c>
      <c r="G92" s="52" t="s">
        <v>25</v>
      </c>
      <c r="H92" s="59">
        <v>5.4915247891726962</v>
      </c>
      <c r="I92" s="7"/>
      <c r="J92" s="7"/>
      <c r="K92" s="7"/>
      <c r="L92" s="7"/>
      <c r="M92" s="7"/>
      <c r="N92" s="7"/>
      <c r="O92" s="7"/>
      <c r="P92" s="7"/>
      <c r="Q92" s="44"/>
      <c r="R92" s="44"/>
      <c r="S92" s="44"/>
      <c r="T92" s="44"/>
    </row>
    <row r="93" spans="1:20" s="8" customFormat="1" ht="15" x14ac:dyDescent="0.25">
      <c r="A93" s="37" t="s">
        <v>100</v>
      </c>
      <c r="B93" s="33">
        <v>452.48334499999999</v>
      </c>
      <c r="C93" s="34" t="s">
        <v>17</v>
      </c>
      <c r="D93" s="35">
        <v>4</v>
      </c>
      <c r="E93" s="34" t="str">
        <f t="shared" si="1"/>
        <v>Lat Am/Caribbean</v>
      </c>
      <c r="F93" s="36">
        <v>2011</v>
      </c>
      <c r="G93" s="52" t="s">
        <v>18</v>
      </c>
      <c r="H93" s="59">
        <v>3.8662411126567364</v>
      </c>
      <c r="I93" s="7"/>
      <c r="J93" s="7"/>
      <c r="K93" s="7"/>
      <c r="L93" s="7"/>
      <c r="M93" s="7"/>
      <c r="N93" s="7"/>
      <c r="Q93" s="44"/>
      <c r="R93" s="44"/>
      <c r="S93" s="44"/>
      <c r="T93" s="44"/>
    </row>
    <row r="94" spans="1:20" s="8" customFormat="1" ht="15" x14ac:dyDescent="0.25">
      <c r="A94" s="37" t="s">
        <v>101</v>
      </c>
      <c r="B94" s="33">
        <v>637.19485600000007</v>
      </c>
      <c r="C94" s="34" t="s">
        <v>17</v>
      </c>
      <c r="D94" s="35">
        <v>3</v>
      </c>
      <c r="E94" s="34" t="str">
        <f t="shared" si="1"/>
        <v>Europe</v>
      </c>
      <c r="F94" s="36">
        <v>2011</v>
      </c>
      <c r="G94" s="52" t="s">
        <v>18</v>
      </c>
      <c r="H94" s="59">
        <v>1.3868291419658716</v>
      </c>
      <c r="I94" s="7"/>
      <c r="J94" s="7"/>
      <c r="K94" s="7"/>
      <c r="L94" s="7"/>
      <c r="M94" s="7"/>
      <c r="N94" s="7"/>
      <c r="Q94" s="44"/>
      <c r="R94" s="44"/>
      <c r="S94" s="44"/>
      <c r="T94" s="44"/>
    </row>
    <row r="95" spans="1:20" s="8" customFormat="1" ht="15" x14ac:dyDescent="0.25">
      <c r="A95" s="37" t="s">
        <v>102</v>
      </c>
      <c r="B95" s="33">
        <v>2310.8687049999999</v>
      </c>
      <c r="C95" s="34" t="s">
        <v>17</v>
      </c>
      <c r="D95" s="35">
        <v>2</v>
      </c>
      <c r="E95" s="34" t="str">
        <f t="shared" si="1"/>
        <v>Asia Pacific</v>
      </c>
      <c r="F95" s="36">
        <v>2011</v>
      </c>
      <c r="G95" s="52" t="s">
        <v>18</v>
      </c>
      <c r="H95" s="59">
        <v>7.1273263481327653</v>
      </c>
      <c r="I95" s="7"/>
      <c r="J95" s="7"/>
      <c r="K95" s="7"/>
      <c r="L95" s="7"/>
      <c r="M95" s="7"/>
      <c r="N95" s="7"/>
      <c r="Q95" s="44"/>
      <c r="R95" s="44"/>
      <c r="S95" s="44"/>
      <c r="T95" s="44"/>
    </row>
    <row r="96" spans="1:20" s="8" customFormat="1" ht="15" x14ac:dyDescent="0.25">
      <c r="A96" s="37" t="s">
        <v>103</v>
      </c>
      <c r="B96" s="33">
        <v>731.21145799999999</v>
      </c>
      <c r="C96" s="34" t="s">
        <v>17</v>
      </c>
      <c r="D96" s="35">
        <v>1</v>
      </c>
      <c r="E96" s="34" t="str">
        <f t="shared" si="1"/>
        <v>Africa</v>
      </c>
      <c r="F96" s="36">
        <v>2011</v>
      </c>
      <c r="G96" s="52" t="s">
        <v>18</v>
      </c>
      <c r="H96" s="59">
        <v>1.7443799743820183</v>
      </c>
      <c r="I96" s="7"/>
      <c r="J96" s="7"/>
      <c r="K96" s="7"/>
      <c r="L96" s="7"/>
      <c r="M96" s="7"/>
      <c r="N96" s="7"/>
      <c r="O96" s="7"/>
      <c r="P96" s="7"/>
      <c r="Q96" s="44"/>
      <c r="R96" s="44"/>
      <c r="S96" s="44"/>
      <c r="T96" s="44"/>
    </row>
    <row r="97" spans="1:20" s="8" customFormat="1" ht="15" x14ac:dyDescent="0.25">
      <c r="A97" s="37" t="s">
        <v>104</v>
      </c>
      <c r="B97" s="33">
        <v>0.44503199999999998</v>
      </c>
      <c r="C97" s="34" t="s">
        <v>17</v>
      </c>
      <c r="D97" s="35">
        <v>1</v>
      </c>
      <c r="E97" s="34" t="str">
        <f t="shared" si="1"/>
        <v>Africa</v>
      </c>
      <c r="F97" s="36">
        <v>2011</v>
      </c>
      <c r="G97" s="52" t="s">
        <v>18</v>
      </c>
      <c r="H97" s="59">
        <v>0.3096666069144553</v>
      </c>
      <c r="I97" s="7"/>
      <c r="J97" s="7"/>
      <c r="K97" s="7"/>
      <c r="L97" s="7"/>
      <c r="M97" s="7"/>
      <c r="N97" s="7"/>
      <c r="O97" s="7"/>
      <c r="P97" s="7"/>
      <c r="Q97" s="44"/>
      <c r="R97" s="44"/>
      <c r="S97" s="44"/>
      <c r="T97" s="44"/>
    </row>
    <row r="98" spans="1:20" s="8" customFormat="1" ht="15" x14ac:dyDescent="0.25">
      <c r="A98" s="37" t="s">
        <v>105</v>
      </c>
      <c r="B98" s="33">
        <v>315.66517399999998</v>
      </c>
      <c r="C98" s="34" t="s">
        <v>17</v>
      </c>
      <c r="D98" s="35">
        <v>2</v>
      </c>
      <c r="E98" s="34" t="str">
        <f t="shared" si="1"/>
        <v>Asia Pacific</v>
      </c>
      <c r="F98" s="36">
        <v>2011</v>
      </c>
      <c r="G98" s="52" t="s">
        <v>18</v>
      </c>
      <c r="H98" s="59">
        <v>0.41660036165808062</v>
      </c>
      <c r="I98" s="7"/>
      <c r="J98" s="7"/>
      <c r="K98" s="7"/>
      <c r="L98" s="7"/>
      <c r="M98" s="7"/>
      <c r="N98" s="7"/>
      <c r="O98" s="7"/>
      <c r="P98" s="7"/>
      <c r="Q98" s="44"/>
      <c r="R98" s="44"/>
      <c r="S98" s="44"/>
      <c r="T98" s="44"/>
    </row>
    <row r="99" spans="1:20" s="8" customFormat="1" ht="15" x14ac:dyDescent="0.25">
      <c r="A99" s="37" t="s">
        <v>106</v>
      </c>
      <c r="B99" s="33">
        <v>489.80383399999999</v>
      </c>
      <c r="C99" s="34" t="s">
        <v>17</v>
      </c>
      <c r="D99" s="35">
        <v>1</v>
      </c>
      <c r="E99" s="34" t="str">
        <f t="shared" si="1"/>
        <v>Africa</v>
      </c>
      <c r="F99" s="36">
        <v>2011</v>
      </c>
      <c r="G99" s="52" t="s">
        <v>18</v>
      </c>
      <c r="H99" s="59">
        <v>1.5837286671570379</v>
      </c>
      <c r="I99" s="7"/>
      <c r="J99" s="7"/>
      <c r="K99" s="7"/>
      <c r="L99" s="7"/>
      <c r="M99" s="7"/>
      <c r="N99" s="7"/>
      <c r="O99" s="7"/>
      <c r="P99" s="7"/>
      <c r="Q99" s="44"/>
      <c r="R99" s="44"/>
      <c r="S99" s="44"/>
      <c r="T99" s="44"/>
    </row>
    <row r="100" spans="1:20" s="8" customFormat="1" ht="15" x14ac:dyDescent="0.25">
      <c r="A100" s="37" t="s">
        <v>107</v>
      </c>
      <c r="B100" s="33">
        <v>3.0417899999999998</v>
      </c>
      <c r="C100" s="34" t="s">
        <v>17</v>
      </c>
      <c r="D100" s="35">
        <v>2</v>
      </c>
      <c r="E100" s="34" t="str">
        <f t="shared" si="1"/>
        <v>Asia Pacific</v>
      </c>
      <c r="F100" s="36">
        <v>2011</v>
      </c>
      <c r="G100" s="52" t="s">
        <v>18</v>
      </c>
      <c r="H100" s="59">
        <v>0.28353852583466699</v>
      </c>
      <c r="I100" s="7"/>
      <c r="J100" s="7"/>
      <c r="K100" s="7"/>
      <c r="L100" s="7"/>
      <c r="M100" s="7"/>
      <c r="N100" s="7"/>
      <c r="O100" s="7"/>
      <c r="P100" s="7"/>
      <c r="Q100" s="44"/>
      <c r="R100" s="44"/>
      <c r="S100" s="44"/>
      <c r="T100" s="44"/>
    </row>
    <row r="101" spans="1:20" s="8" customFormat="1" ht="15" x14ac:dyDescent="0.25">
      <c r="A101" s="37" t="s">
        <v>108</v>
      </c>
      <c r="B101" s="33">
        <v>475.55</v>
      </c>
      <c r="C101" s="34" t="s">
        <v>17</v>
      </c>
      <c r="D101" s="35">
        <v>3</v>
      </c>
      <c r="E101" s="34" t="str">
        <f t="shared" si="1"/>
        <v>Europe</v>
      </c>
      <c r="F101" s="36">
        <v>2013</v>
      </c>
      <c r="G101" s="52" t="s">
        <v>25</v>
      </c>
      <c r="H101" s="59">
        <v>9.9201380752383894</v>
      </c>
      <c r="I101" s="7"/>
      <c r="J101" s="7"/>
      <c r="K101" s="7"/>
      <c r="L101" s="7"/>
      <c r="M101" s="7"/>
      <c r="N101" s="7"/>
      <c r="O101" s="7"/>
      <c r="P101" s="7"/>
      <c r="Q101" s="44"/>
      <c r="R101" s="44"/>
      <c r="S101" s="44"/>
      <c r="T101" s="44"/>
    </row>
    <row r="102" spans="1:20" s="8" customFormat="1" ht="15" x14ac:dyDescent="0.25">
      <c r="A102" s="37" t="s">
        <v>109</v>
      </c>
      <c r="B102" s="33">
        <v>717.53913</v>
      </c>
      <c r="C102" s="34" t="s">
        <v>17</v>
      </c>
      <c r="D102" s="35">
        <v>4</v>
      </c>
      <c r="E102" s="34" t="str">
        <f t="shared" si="1"/>
        <v>Lat Am/Caribbean</v>
      </c>
      <c r="F102" s="36">
        <v>2011</v>
      </c>
      <c r="G102" s="52" t="s">
        <v>18</v>
      </c>
      <c r="H102" s="59">
        <v>16.008917910447764</v>
      </c>
      <c r="I102" s="7"/>
      <c r="J102" s="7"/>
      <c r="K102" s="7"/>
      <c r="L102" s="7"/>
      <c r="M102" s="7"/>
      <c r="N102" s="7"/>
      <c r="O102" s="7"/>
      <c r="P102" s="7"/>
      <c r="Q102" s="44"/>
      <c r="R102" s="44"/>
      <c r="S102" s="44"/>
      <c r="T102" s="44"/>
    </row>
    <row r="103" spans="1:20" s="8" customFormat="1" ht="15" x14ac:dyDescent="0.25">
      <c r="A103" s="37" t="s">
        <v>110</v>
      </c>
      <c r="B103" s="33">
        <v>197.69558800000001</v>
      </c>
      <c r="C103" s="34" t="s">
        <v>17</v>
      </c>
      <c r="D103" s="35">
        <v>2</v>
      </c>
      <c r="E103" s="34" t="str">
        <f t="shared" si="1"/>
        <v>Asia Pacific</v>
      </c>
      <c r="F103" s="36">
        <v>2011</v>
      </c>
      <c r="G103" s="52" t="s">
        <v>18</v>
      </c>
      <c r="H103" s="59">
        <v>7.6865758254429339</v>
      </c>
      <c r="I103" s="7"/>
      <c r="J103" s="7"/>
      <c r="K103" s="7"/>
      <c r="L103" s="7"/>
      <c r="M103" s="7"/>
      <c r="N103" s="7"/>
      <c r="O103" s="7"/>
      <c r="P103" s="7"/>
      <c r="Q103" s="44"/>
      <c r="R103" s="44"/>
      <c r="S103" s="44"/>
      <c r="T103" s="44"/>
    </row>
    <row r="104" spans="1:20" s="8" customFormat="1" ht="15" x14ac:dyDescent="0.25">
      <c r="A104" s="37" t="s">
        <v>111</v>
      </c>
      <c r="B104" s="33">
        <v>472.11927399999996</v>
      </c>
      <c r="C104" s="34" t="s">
        <v>17</v>
      </c>
      <c r="D104" s="35">
        <v>4</v>
      </c>
      <c r="E104" s="34" t="str">
        <f t="shared" si="1"/>
        <v>Lat Am/Caribbean</v>
      </c>
      <c r="F104" s="36">
        <v>2011</v>
      </c>
      <c r="G104" s="52" t="s">
        <v>18</v>
      </c>
      <c r="H104" s="59">
        <v>0.80852085559736719</v>
      </c>
      <c r="I104" s="7"/>
      <c r="J104" s="7"/>
      <c r="K104" s="7"/>
      <c r="L104" s="7"/>
      <c r="M104" s="7"/>
      <c r="N104" s="7"/>
      <c r="O104" s="7"/>
      <c r="P104" s="7"/>
      <c r="Q104" s="44"/>
      <c r="R104" s="44"/>
      <c r="S104" s="44"/>
      <c r="T104" s="44"/>
    </row>
    <row r="105" spans="1:20" s="8" customFormat="1" ht="15" x14ac:dyDescent="0.25">
      <c r="A105" s="37" t="s">
        <v>112</v>
      </c>
      <c r="B105" s="33">
        <v>439.63136000000003</v>
      </c>
      <c r="C105" s="34" t="s">
        <v>17</v>
      </c>
      <c r="D105" s="35">
        <v>1</v>
      </c>
      <c r="E105" s="34" t="str">
        <f t="shared" si="1"/>
        <v>Africa</v>
      </c>
      <c r="F105" s="36">
        <v>2011</v>
      </c>
      <c r="G105" s="52" t="s">
        <v>18</v>
      </c>
      <c r="H105" s="59">
        <v>0.54562211321375476</v>
      </c>
      <c r="I105" s="7"/>
      <c r="J105" s="7"/>
      <c r="K105" s="7"/>
      <c r="L105" s="7"/>
      <c r="M105" s="7"/>
      <c r="N105" s="7"/>
      <c r="O105" s="7"/>
      <c r="P105" s="7"/>
      <c r="Q105" s="44"/>
      <c r="R105" s="44"/>
      <c r="S105" s="44"/>
      <c r="T105" s="44"/>
    </row>
    <row r="106" spans="1:20" s="8" customFormat="1" ht="15" x14ac:dyDescent="0.25">
      <c r="A106" s="37" t="s">
        <v>113</v>
      </c>
      <c r="B106" s="33">
        <v>502.63</v>
      </c>
      <c r="C106" s="34" t="s">
        <v>17</v>
      </c>
      <c r="D106" s="35">
        <v>3</v>
      </c>
      <c r="E106" s="34" t="str">
        <f t="shared" si="1"/>
        <v>Europe</v>
      </c>
      <c r="F106" s="36">
        <v>2013</v>
      </c>
      <c r="G106" s="52" t="s">
        <v>25</v>
      </c>
      <c r="H106" s="59">
        <v>9.2709451315416551</v>
      </c>
      <c r="I106" s="7"/>
      <c r="J106" s="7"/>
      <c r="K106" s="7"/>
      <c r="L106" s="7"/>
      <c r="M106" s="7"/>
      <c r="N106" s="7"/>
      <c r="O106" s="7"/>
      <c r="P106" s="7"/>
      <c r="Q106" s="44"/>
      <c r="R106" s="44"/>
      <c r="S106" s="44"/>
      <c r="T106" s="44"/>
    </row>
    <row r="107" spans="1:20" s="8" customFormat="1" ht="15" x14ac:dyDescent="0.25">
      <c r="A107" s="37" t="s">
        <v>114</v>
      </c>
      <c r="B107" s="33">
        <v>936.49203</v>
      </c>
      <c r="C107" s="34" t="s">
        <v>17</v>
      </c>
      <c r="D107" s="35">
        <v>2</v>
      </c>
      <c r="E107" s="34" t="str">
        <f t="shared" si="1"/>
        <v>Asia Pacific</v>
      </c>
      <c r="F107" s="36">
        <v>2011</v>
      </c>
      <c r="G107" s="52" t="s">
        <v>18</v>
      </c>
      <c r="H107" s="59">
        <v>15.443167189482255</v>
      </c>
      <c r="I107" s="7"/>
      <c r="J107" s="7"/>
      <c r="K107" s="7"/>
      <c r="L107" s="7"/>
      <c r="M107" s="7"/>
      <c r="N107" s="7"/>
      <c r="O107" s="7"/>
      <c r="P107" s="7"/>
      <c r="Q107" s="44"/>
      <c r="R107" s="44"/>
      <c r="S107" s="44"/>
      <c r="T107" s="44"/>
    </row>
    <row r="108" spans="1:20" s="8" customFormat="1" ht="15" x14ac:dyDescent="0.25">
      <c r="A108" s="37" t="s">
        <v>115</v>
      </c>
      <c r="B108" s="33">
        <v>473.37854699999997</v>
      </c>
      <c r="C108" s="34" t="s">
        <v>17</v>
      </c>
      <c r="D108" s="35">
        <v>2</v>
      </c>
      <c r="E108" s="34" t="str">
        <f t="shared" si="1"/>
        <v>Asia Pacific</v>
      </c>
      <c r="F108" s="36">
        <v>2011</v>
      </c>
      <c r="G108" s="52" t="s">
        <v>18</v>
      </c>
      <c r="H108" s="59">
        <v>0.89626410518213795</v>
      </c>
      <c r="I108" s="7"/>
      <c r="J108" s="7"/>
      <c r="K108" s="7"/>
      <c r="L108" s="7"/>
      <c r="M108" s="7"/>
      <c r="N108" s="7"/>
      <c r="O108" s="7"/>
      <c r="P108" s="7"/>
      <c r="Q108" s="44"/>
      <c r="R108" s="44"/>
      <c r="S108" s="44"/>
      <c r="T108" s="44"/>
    </row>
    <row r="109" spans="1:20" s="8" customFormat="1" ht="15" x14ac:dyDescent="0.25">
      <c r="A109" s="37" t="s">
        <v>116</v>
      </c>
      <c r="B109" s="33">
        <v>276.797888</v>
      </c>
      <c r="C109" s="34" t="s">
        <v>17</v>
      </c>
      <c r="D109" s="35">
        <v>4</v>
      </c>
      <c r="E109" s="34" t="str">
        <f t="shared" si="1"/>
        <v>Lat Am/Caribbean</v>
      </c>
      <c r="F109" s="36">
        <v>2011</v>
      </c>
      <c r="G109" s="52" t="s">
        <v>18</v>
      </c>
      <c r="H109" s="59">
        <v>2.2543113627968951</v>
      </c>
      <c r="I109" s="7"/>
      <c r="J109" s="7"/>
      <c r="K109" s="7"/>
      <c r="L109" s="7"/>
      <c r="M109" s="7"/>
      <c r="N109" s="7"/>
      <c r="O109" s="7"/>
      <c r="P109" s="7"/>
      <c r="Q109" s="44"/>
      <c r="R109" s="44"/>
      <c r="S109" s="44"/>
      <c r="T109" s="44"/>
    </row>
    <row r="110" spans="1:20" s="8" customFormat="1" ht="15" x14ac:dyDescent="0.25">
      <c r="A110" s="37" t="s">
        <v>117</v>
      </c>
      <c r="B110" s="33">
        <v>209.693364</v>
      </c>
      <c r="C110" s="34" t="s">
        <v>17</v>
      </c>
      <c r="D110" s="35">
        <v>4</v>
      </c>
      <c r="E110" s="34" t="str">
        <f t="shared" si="1"/>
        <v>Lat Am/Caribbean</v>
      </c>
      <c r="F110" s="36">
        <v>2011</v>
      </c>
      <c r="G110" s="52" t="s">
        <v>18</v>
      </c>
      <c r="H110" s="59">
        <v>0.87021929058826264</v>
      </c>
      <c r="I110" s="7"/>
      <c r="J110" s="7"/>
      <c r="K110" s="7"/>
      <c r="L110" s="7"/>
      <c r="M110" s="7"/>
      <c r="N110" s="7"/>
      <c r="O110" s="7"/>
      <c r="P110" s="7"/>
      <c r="Q110" s="44"/>
      <c r="R110" s="44"/>
      <c r="S110" s="44"/>
      <c r="T110" s="44"/>
    </row>
    <row r="111" spans="1:20" s="8" customFormat="1" ht="15" x14ac:dyDescent="0.25">
      <c r="A111" s="37" t="s">
        <v>118</v>
      </c>
      <c r="B111" s="33">
        <v>237.72121199999998</v>
      </c>
      <c r="C111" s="34" t="s">
        <v>17</v>
      </c>
      <c r="D111" s="35">
        <v>4</v>
      </c>
      <c r="E111" s="34" t="str">
        <f t="shared" si="1"/>
        <v>Lat Am/Caribbean</v>
      </c>
      <c r="F111" s="36">
        <v>2011</v>
      </c>
      <c r="G111" s="52" t="s">
        <v>18</v>
      </c>
      <c r="H111" s="59">
        <v>1.9934859492452772</v>
      </c>
      <c r="I111" s="7"/>
      <c r="J111" s="7"/>
      <c r="K111" s="7"/>
      <c r="L111" s="7"/>
      <c r="M111" s="7"/>
      <c r="N111" s="7"/>
      <c r="O111" s="7"/>
      <c r="P111" s="7"/>
      <c r="Q111" s="44"/>
      <c r="R111" s="44"/>
      <c r="S111" s="44"/>
      <c r="T111" s="44"/>
    </row>
    <row r="112" spans="1:20" s="8" customFormat="1" ht="15" x14ac:dyDescent="0.25">
      <c r="A112" s="37" t="s">
        <v>119</v>
      </c>
      <c r="B112" s="33">
        <v>526.73384999999996</v>
      </c>
      <c r="C112" s="34" t="s">
        <v>17</v>
      </c>
      <c r="D112" s="35">
        <v>2</v>
      </c>
      <c r="E112" s="34" t="str">
        <f t="shared" si="1"/>
        <v>Asia Pacific</v>
      </c>
      <c r="F112" s="36">
        <v>2011</v>
      </c>
      <c r="G112" s="52" t="s">
        <v>18</v>
      </c>
      <c r="H112" s="59">
        <v>1.0554568459296054</v>
      </c>
      <c r="I112" s="7"/>
      <c r="J112" s="7"/>
      <c r="K112" s="7"/>
      <c r="L112" s="7"/>
      <c r="M112" s="7"/>
      <c r="N112" s="7"/>
      <c r="O112" s="7"/>
      <c r="P112" s="7"/>
      <c r="Q112" s="44"/>
      <c r="R112" s="44"/>
      <c r="S112" s="44"/>
      <c r="T112" s="44"/>
    </row>
    <row r="113" spans="1:20" s="8" customFormat="1" ht="15" x14ac:dyDescent="0.25">
      <c r="A113" s="37" t="s">
        <v>120</v>
      </c>
      <c r="B113" s="33">
        <v>881.25</v>
      </c>
      <c r="C113" s="34" t="s">
        <v>17</v>
      </c>
      <c r="D113" s="35">
        <v>3</v>
      </c>
      <c r="E113" s="34" t="str">
        <f t="shared" si="1"/>
        <v>Europe</v>
      </c>
      <c r="F113" s="36">
        <v>2013</v>
      </c>
      <c r="G113" s="52" t="s">
        <v>25</v>
      </c>
      <c r="H113" s="59">
        <v>7.5171515848987163</v>
      </c>
      <c r="I113" s="7"/>
      <c r="J113" s="7"/>
      <c r="K113" s="7"/>
      <c r="L113" s="7"/>
      <c r="M113" s="7"/>
      <c r="N113" s="7"/>
      <c r="O113" s="7"/>
      <c r="P113" s="7"/>
      <c r="Q113" s="44"/>
      <c r="R113" s="44"/>
      <c r="S113" s="44"/>
      <c r="T113" s="44"/>
    </row>
    <row r="114" spans="1:20" s="8" customFormat="1" ht="15" x14ac:dyDescent="0.25">
      <c r="A114" s="37" t="s">
        <v>121</v>
      </c>
      <c r="B114" s="33">
        <v>358.41</v>
      </c>
      <c r="C114" s="34" t="s">
        <v>17</v>
      </c>
      <c r="D114" s="35">
        <v>3</v>
      </c>
      <c r="E114" s="34" t="str">
        <f t="shared" si="1"/>
        <v>Europe</v>
      </c>
      <c r="F114" s="36">
        <v>2013</v>
      </c>
      <c r="G114" s="52" t="s">
        <v>25</v>
      </c>
      <c r="H114" s="59">
        <v>4.33155402784831</v>
      </c>
      <c r="I114" s="7"/>
      <c r="J114" s="7"/>
      <c r="K114" s="7"/>
      <c r="L114" s="7"/>
      <c r="M114" s="7"/>
      <c r="N114" s="7"/>
      <c r="O114" s="7"/>
      <c r="P114" s="7"/>
      <c r="Q114" s="44"/>
      <c r="R114" s="44"/>
      <c r="S114" s="44"/>
      <c r="T114" s="44"/>
    </row>
    <row r="115" spans="1:20" s="8" customFormat="1" ht="15" x14ac:dyDescent="0.25">
      <c r="A115" s="37" t="s">
        <v>122</v>
      </c>
      <c r="B115" s="33">
        <v>596.34538800000007</v>
      </c>
      <c r="C115" s="34" t="s">
        <v>17</v>
      </c>
      <c r="D115" s="35">
        <v>2</v>
      </c>
      <c r="E115" s="34" t="str">
        <f t="shared" si="1"/>
        <v>Asia Pacific</v>
      </c>
      <c r="F115" s="36">
        <v>2011</v>
      </c>
      <c r="G115" s="52" t="s">
        <v>18</v>
      </c>
      <c r="H115" s="59">
        <v>45.423239958912056</v>
      </c>
      <c r="I115" s="7"/>
      <c r="J115" s="7"/>
      <c r="K115" s="7"/>
      <c r="L115" s="7"/>
      <c r="M115" s="7"/>
      <c r="N115" s="7"/>
      <c r="O115" s="7"/>
      <c r="P115" s="7"/>
      <c r="Q115" s="44"/>
      <c r="R115" s="44"/>
      <c r="S115" s="44"/>
      <c r="T115" s="44"/>
    </row>
    <row r="116" spans="1:20" s="8" customFormat="1" ht="15" x14ac:dyDescent="0.25">
      <c r="A116" s="37" t="s">
        <v>123</v>
      </c>
      <c r="B116" s="33">
        <v>424.63</v>
      </c>
      <c r="C116" s="34" t="s">
        <v>17</v>
      </c>
      <c r="D116" s="35">
        <v>3</v>
      </c>
      <c r="E116" s="34" t="str">
        <f t="shared" si="1"/>
        <v>Europe</v>
      </c>
      <c r="F116" s="36">
        <v>2013</v>
      </c>
      <c r="G116" s="52" t="s">
        <v>25</v>
      </c>
      <c r="H116" s="59">
        <v>3.5161536912565934</v>
      </c>
      <c r="I116" s="7"/>
      <c r="J116" s="7"/>
      <c r="K116" s="7"/>
      <c r="L116" s="7"/>
      <c r="M116" s="7"/>
      <c r="N116" s="7"/>
      <c r="O116" s="7"/>
      <c r="P116" s="7"/>
      <c r="Q116" s="44"/>
      <c r="R116" s="44"/>
      <c r="S116" s="44"/>
      <c r="T116" s="44"/>
    </row>
    <row r="117" spans="1:20" s="8" customFormat="1" ht="15" x14ac:dyDescent="0.25">
      <c r="A117" s="37" t="s">
        <v>124</v>
      </c>
      <c r="B117" s="33">
        <v>513.18038100000001</v>
      </c>
      <c r="C117" s="34" t="s">
        <v>17</v>
      </c>
      <c r="D117" s="35">
        <v>3</v>
      </c>
      <c r="E117" s="34" t="str">
        <f t="shared" si="1"/>
        <v>Europe</v>
      </c>
      <c r="F117" s="36">
        <v>2011</v>
      </c>
      <c r="G117" s="52" t="s">
        <v>18</v>
      </c>
      <c r="H117" s="59">
        <v>11.857527773705161</v>
      </c>
      <c r="I117" s="7"/>
      <c r="J117" s="7"/>
      <c r="K117" s="7"/>
      <c r="L117" s="7"/>
      <c r="M117" s="7"/>
      <c r="N117" s="7"/>
      <c r="O117" s="7"/>
      <c r="P117" s="7"/>
      <c r="Q117" s="44"/>
      <c r="R117" s="44"/>
      <c r="S117" s="44"/>
      <c r="T117" s="44"/>
    </row>
    <row r="118" spans="1:20" s="8" customFormat="1" ht="15" x14ac:dyDescent="0.25">
      <c r="A118" s="37" t="s">
        <v>125</v>
      </c>
      <c r="B118" s="33">
        <v>795.59139500000003</v>
      </c>
      <c r="C118" s="34" t="s">
        <v>17</v>
      </c>
      <c r="D118" s="35">
        <v>2</v>
      </c>
      <c r="E118" s="34" t="str">
        <f t="shared" si="1"/>
        <v>Asia Pacific</v>
      </c>
      <c r="F118" s="36">
        <v>2011</v>
      </c>
      <c r="G118" s="52" t="s">
        <v>18</v>
      </c>
      <c r="H118" s="59">
        <v>19.529271798341618</v>
      </c>
      <c r="I118" s="7"/>
      <c r="J118" s="7"/>
      <c r="K118" s="7"/>
      <c r="L118" s="7"/>
      <c r="M118" s="7"/>
      <c r="N118" s="7"/>
      <c r="O118" s="7"/>
      <c r="P118" s="7"/>
      <c r="Q118" s="44"/>
      <c r="R118" s="44"/>
      <c r="S118" s="44"/>
      <c r="T118" s="44"/>
    </row>
    <row r="119" spans="1:20" s="8" customFormat="1" ht="15" x14ac:dyDescent="0.25">
      <c r="A119" s="37" t="s">
        <v>126</v>
      </c>
      <c r="B119" s="33">
        <v>598.25940000000003</v>
      </c>
      <c r="C119" s="34" t="s">
        <v>17</v>
      </c>
      <c r="D119" s="35">
        <v>1</v>
      </c>
      <c r="E119" s="34" t="str">
        <f t="shared" si="1"/>
        <v>Africa</v>
      </c>
      <c r="F119" s="36">
        <v>2011</v>
      </c>
      <c r="G119" s="52" t="s">
        <v>18</v>
      </c>
      <c r="H119" s="59">
        <v>0.60880911743351884</v>
      </c>
      <c r="I119" s="7"/>
      <c r="J119" s="7"/>
      <c r="K119" s="7"/>
      <c r="L119" s="7"/>
      <c r="M119" s="7"/>
      <c r="N119" s="7"/>
      <c r="O119" s="7"/>
      <c r="P119" s="7"/>
      <c r="Q119" s="44"/>
      <c r="R119" s="44"/>
      <c r="S119" s="44"/>
      <c r="T119" s="44"/>
    </row>
    <row r="120" spans="1:20" s="8" customFormat="1" ht="15" x14ac:dyDescent="0.25">
      <c r="A120" s="37" t="s">
        <v>127</v>
      </c>
      <c r="B120" s="33">
        <v>1548.5678190000001</v>
      </c>
      <c r="C120" s="34" t="s">
        <v>17</v>
      </c>
      <c r="D120" s="35">
        <v>3</v>
      </c>
      <c r="E120" s="34" t="str">
        <f t="shared" si="1"/>
        <v>Europe</v>
      </c>
      <c r="F120" s="36">
        <v>2011</v>
      </c>
      <c r="G120" s="52" t="s">
        <v>18</v>
      </c>
      <c r="H120" s="59">
        <v>5.2825219168830113</v>
      </c>
      <c r="I120" s="7"/>
      <c r="J120" s="7"/>
      <c r="K120" s="7"/>
      <c r="L120" s="7"/>
      <c r="M120" s="7"/>
      <c r="N120" s="7"/>
      <c r="O120" s="7"/>
      <c r="P120" s="7"/>
      <c r="Q120" s="44"/>
      <c r="R120" s="44"/>
      <c r="S120" s="44"/>
      <c r="T120" s="44"/>
    </row>
    <row r="121" spans="1:20" s="8" customFormat="1" ht="15" x14ac:dyDescent="0.25">
      <c r="A121" s="37" t="s">
        <v>128</v>
      </c>
      <c r="B121" s="33">
        <v>579.04595000000006</v>
      </c>
      <c r="C121" s="34" t="s">
        <v>17</v>
      </c>
      <c r="D121" s="35">
        <v>2</v>
      </c>
      <c r="E121" s="34" t="str">
        <f t="shared" si="1"/>
        <v>Asia Pacific</v>
      </c>
      <c r="F121" s="36">
        <v>2011</v>
      </c>
      <c r="G121" s="52" t="s">
        <v>18</v>
      </c>
      <c r="H121" s="59">
        <v>10.306331909983026</v>
      </c>
      <c r="I121" s="7"/>
      <c r="J121" s="7"/>
      <c r="K121" s="7"/>
      <c r="L121" s="7"/>
      <c r="M121" s="7"/>
      <c r="N121" s="7"/>
      <c r="O121" s="7"/>
      <c r="P121" s="7"/>
      <c r="Q121" s="44"/>
      <c r="R121" s="44"/>
      <c r="S121" s="44"/>
      <c r="T121" s="44"/>
    </row>
    <row r="122" spans="1:20" s="8" customFormat="1" ht="15" x14ac:dyDescent="0.25">
      <c r="A122" s="37" t="s">
        <v>129</v>
      </c>
      <c r="B122" s="33">
        <v>174.89</v>
      </c>
      <c r="C122" s="34" t="s">
        <v>17</v>
      </c>
      <c r="D122" s="35">
        <v>3</v>
      </c>
      <c r="E122" s="34" t="str">
        <f t="shared" si="1"/>
        <v>Europe</v>
      </c>
      <c r="F122" s="36">
        <v>2013</v>
      </c>
      <c r="G122" s="52" t="s">
        <v>25</v>
      </c>
      <c r="H122" s="59">
        <v>5.6615813277442406</v>
      </c>
      <c r="I122" s="7"/>
      <c r="J122" s="7"/>
      <c r="K122" s="7"/>
      <c r="L122" s="7"/>
      <c r="M122" s="7"/>
      <c r="N122" s="7"/>
      <c r="O122" s="7"/>
      <c r="P122" s="7"/>
      <c r="Q122" s="44"/>
      <c r="R122" s="44"/>
      <c r="S122" s="44"/>
      <c r="T122" s="44"/>
    </row>
    <row r="123" spans="1:20" s="8" customFormat="1" ht="15" x14ac:dyDescent="0.25">
      <c r="A123" s="37" t="s">
        <v>130</v>
      </c>
      <c r="B123" s="33">
        <v>215.94</v>
      </c>
      <c r="C123" s="34" t="s">
        <v>17</v>
      </c>
      <c r="D123" s="35">
        <v>3</v>
      </c>
      <c r="E123" s="34" t="str">
        <f t="shared" si="1"/>
        <v>Europe</v>
      </c>
      <c r="F123" s="36">
        <v>2013</v>
      </c>
      <c r="G123" s="52" t="s">
        <v>25</v>
      </c>
      <c r="H123" s="59">
        <v>6.2136868446832656</v>
      </c>
      <c r="I123" s="7"/>
      <c r="J123" s="7"/>
      <c r="K123" s="7"/>
      <c r="L123" s="7"/>
      <c r="M123" s="7"/>
      <c r="N123" s="7"/>
      <c r="O123" s="7"/>
      <c r="P123" s="7"/>
      <c r="Q123" s="44"/>
      <c r="R123" s="44"/>
      <c r="S123" s="44"/>
      <c r="T123" s="44"/>
    </row>
    <row r="124" spans="1:20" s="8" customFormat="1" ht="15" x14ac:dyDescent="0.25">
      <c r="A124" s="37" t="s">
        <v>131</v>
      </c>
      <c r="B124" s="33">
        <v>1069.026617</v>
      </c>
      <c r="C124" s="34" t="s">
        <v>17</v>
      </c>
      <c r="D124" s="35">
        <v>1</v>
      </c>
      <c r="E124" s="34" t="str">
        <f t="shared" si="1"/>
        <v>Africa</v>
      </c>
      <c r="F124" s="36">
        <v>2011</v>
      </c>
      <c r="G124" s="52" t="s">
        <v>18</v>
      </c>
      <c r="H124" s="59">
        <v>9.0452703447280847</v>
      </c>
      <c r="I124" s="7"/>
      <c r="J124" s="7"/>
      <c r="K124" s="7"/>
      <c r="L124" s="7"/>
      <c r="M124" s="7"/>
      <c r="N124" s="7"/>
      <c r="O124" s="7"/>
      <c r="P124" s="7"/>
      <c r="Q124" s="44"/>
      <c r="R124" s="44"/>
      <c r="S124" s="44"/>
      <c r="T124" s="44"/>
    </row>
    <row r="125" spans="1:20" s="8" customFormat="1" ht="15" x14ac:dyDescent="0.25">
      <c r="A125" s="37" t="s">
        <v>132</v>
      </c>
      <c r="B125" s="33">
        <v>278.19</v>
      </c>
      <c r="C125" s="34" t="s">
        <v>17</v>
      </c>
      <c r="D125" s="35">
        <v>3</v>
      </c>
      <c r="E125" s="34" t="str">
        <f t="shared" si="1"/>
        <v>Europe</v>
      </c>
      <c r="F125" s="36">
        <v>2013</v>
      </c>
      <c r="G125" s="52" t="s">
        <v>25</v>
      </c>
      <c r="H125" s="59">
        <v>5.0338244872375704</v>
      </c>
      <c r="I125" s="7"/>
      <c r="J125" s="7"/>
      <c r="K125" s="7"/>
      <c r="L125" s="7"/>
      <c r="M125" s="7"/>
      <c r="N125" s="7"/>
      <c r="O125" s="7"/>
      <c r="P125" s="7"/>
      <c r="Q125" s="44"/>
      <c r="R125" s="44"/>
      <c r="S125" s="44"/>
      <c r="T125" s="44"/>
    </row>
    <row r="126" spans="1:20" s="8" customFormat="1" ht="15" x14ac:dyDescent="0.25">
      <c r="A126" s="37" t="s">
        <v>133</v>
      </c>
      <c r="B126" s="33">
        <v>417.24763300000001</v>
      </c>
      <c r="C126" s="34" t="s">
        <v>17</v>
      </c>
      <c r="D126" s="35">
        <v>2</v>
      </c>
      <c r="E126" s="34" t="str">
        <f t="shared" si="1"/>
        <v>Asia Pacific</v>
      </c>
      <c r="F126" s="36">
        <v>2011</v>
      </c>
      <c r="G126" s="52" t="s">
        <v>18</v>
      </c>
      <c r="H126" s="59">
        <v>0.88554580906070957</v>
      </c>
      <c r="I126" s="7"/>
      <c r="J126" s="7"/>
      <c r="K126" s="7"/>
      <c r="L126" s="7"/>
      <c r="M126" s="7"/>
      <c r="N126" s="7"/>
      <c r="O126" s="7"/>
      <c r="P126" s="7"/>
      <c r="Q126" s="44"/>
      <c r="R126" s="44"/>
      <c r="S126" s="44"/>
      <c r="T126" s="44"/>
    </row>
    <row r="127" spans="1:20" s="8" customFormat="1" ht="15" x14ac:dyDescent="0.25">
      <c r="A127" s="37" t="s">
        <v>134</v>
      </c>
      <c r="B127" s="33">
        <v>614.90608599999996</v>
      </c>
      <c r="C127" s="34" t="s">
        <v>17</v>
      </c>
      <c r="D127" s="35">
        <v>1</v>
      </c>
      <c r="E127" s="34" t="str">
        <f t="shared" si="1"/>
        <v>Africa</v>
      </c>
      <c r="F127" s="36">
        <v>2011</v>
      </c>
      <c r="G127" s="52" t="s">
        <v>18</v>
      </c>
      <c r="H127" s="59">
        <v>3.9675444884523263</v>
      </c>
      <c r="I127" s="7"/>
      <c r="J127" s="7"/>
      <c r="K127" s="7"/>
      <c r="L127" s="7"/>
      <c r="M127" s="7"/>
      <c r="N127" s="7"/>
      <c r="O127" s="7"/>
      <c r="P127" s="7"/>
      <c r="Q127" s="44"/>
      <c r="R127" s="44"/>
      <c r="S127" s="44"/>
      <c r="T127" s="44"/>
    </row>
    <row r="128" spans="1:20" s="8" customFormat="1" ht="15" x14ac:dyDescent="0.25">
      <c r="A128" s="37" t="s">
        <v>135</v>
      </c>
      <c r="B128" s="33">
        <v>228.74</v>
      </c>
      <c r="C128" s="34" t="s">
        <v>17</v>
      </c>
      <c r="D128" s="35">
        <v>3</v>
      </c>
      <c r="E128" s="34" t="str">
        <f t="shared" si="1"/>
        <v>Europe</v>
      </c>
      <c r="F128" s="36">
        <v>2013</v>
      </c>
      <c r="G128" s="52" t="s">
        <v>25</v>
      </c>
      <c r="H128" s="59">
        <v>4.4781821782137374</v>
      </c>
      <c r="I128" s="7"/>
      <c r="J128" s="7"/>
      <c r="K128" s="7"/>
      <c r="L128" s="7"/>
      <c r="M128" s="7"/>
      <c r="N128" s="7"/>
      <c r="O128" s="7"/>
      <c r="P128" s="7"/>
      <c r="Q128" s="44"/>
      <c r="R128" s="44"/>
      <c r="S128" s="44"/>
      <c r="T128" s="44"/>
    </row>
    <row r="129" spans="1:20" s="8" customFormat="1" ht="15" x14ac:dyDescent="0.25">
      <c r="A129" s="37" t="s">
        <v>136</v>
      </c>
      <c r="B129" s="33">
        <v>35.71</v>
      </c>
      <c r="C129" s="34" t="s">
        <v>17</v>
      </c>
      <c r="D129" s="35">
        <v>3</v>
      </c>
      <c r="E129" s="34" t="str">
        <f t="shared" si="1"/>
        <v>Europe</v>
      </c>
      <c r="F129" s="36">
        <v>2013</v>
      </c>
      <c r="G129" s="52" t="s">
        <v>25</v>
      </c>
      <c r="H129" s="59">
        <v>4.3115629940909663</v>
      </c>
      <c r="I129" s="7"/>
      <c r="J129" s="7"/>
      <c r="K129" s="7"/>
      <c r="L129" s="7"/>
      <c r="M129" s="7"/>
      <c r="N129" s="7"/>
      <c r="O129" s="7"/>
      <c r="P129" s="7"/>
      <c r="Q129" s="44"/>
      <c r="R129" s="44"/>
      <c r="S129" s="44"/>
      <c r="T129" s="44"/>
    </row>
    <row r="130" spans="1:20" s="8" customFormat="1" ht="15" x14ac:dyDescent="0.25">
      <c r="A130" s="37" t="s">
        <v>137</v>
      </c>
      <c r="B130" s="33">
        <v>639.10971199999994</v>
      </c>
      <c r="C130" s="34" t="s">
        <v>17</v>
      </c>
      <c r="D130" s="35">
        <v>2</v>
      </c>
      <c r="E130" s="34" t="str">
        <f t="shared" si="1"/>
        <v>Asia Pacific</v>
      </c>
      <c r="F130" s="36">
        <v>2011</v>
      </c>
      <c r="G130" s="52" t="s">
        <v>18</v>
      </c>
      <c r="H130" s="59">
        <v>1.5988984585293304</v>
      </c>
      <c r="I130" s="7"/>
      <c r="J130" s="7"/>
      <c r="K130" s="7"/>
      <c r="L130" s="7"/>
      <c r="M130" s="7"/>
      <c r="N130" s="7"/>
      <c r="O130" s="7"/>
      <c r="P130" s="7"/>
      <c r="Q130" s="44"/>
      <c r="R130" s="44"/>
      <c r="S130" s="44"/>
      <c r="T130" s="44"/>
    </row>
    <row r="131" spans="1:20" s="8" customFormat="1" ht="15" x14ac:dyDescent="0.25">
      <c r="A131" s="37" t="s">
        <v>138</v>
      </c>
      <c r="B131" s="33">
        <v>23.245211000000001</v>
      </c>
      <c r="C131" s="34" t="s">
        <v>17</v>
      </c>
      <c r="D131" s="35">
        <v>2</v>
      </c>
      <c r="E131" s="34" t="str">
        <f t="shared" si="1"/>
        <v>Asia Pacific</v>
      </c>
      <c r="F131" s="36">
        <v>2011</v>
      </c>
      <c r="G131" s="52" t="s">
        <v>18</v>
      </c>
      <c r="H131" s="59">
        <v>0.62046672474169673</v>
      </c>
      <c r="I131" s="7"/>
      <c r="J131" s="7"/>
      <c r="K131" s="7"/>
      <c r="L131" s="7"/>
      <c r="M131" s="7"/>
      <c r="N131" s="7"/>
      <c r="O131" s="7"/>
      <c r="P131" s="7"/>
      <c r="Q131" s="44"/>
      <c r="R131" s="44"/>
      <c r="S131" s="44"/>
      <c r="T131" s="44"/>
    </row>
    <row r="132" spans="1:20" s="8" customFormat="1" ht="15" x14ac:dyDescent="0.25">
      <c r="A132" s="37" t="s">
        <v>139</v>
      </c>
      <c r="B132" s="33">
        <v>266.75704999999999</v>
      </c>
      <c r="C132" s="34" t="s">
        <v>17</v>
      </c>
      <c r="D132" s="35">
        <v>1</v>
      </c>
      <c r="E132" s="34" t="str">
        <f t="shared" si="1"/>
        <v>Africa</v>
      </c>
      <c r="F132" s="36">
        <v>2011</v>
      </c>
      <c r="G132" s="52" t="s">
        <v>18</v>
      </c>
      <c r="H132" s="59">
        <v>0.22134737238452726</v>
      </c>
      <c r="I132" s="7"/>
      <c r="J132" s="7"/>
      <c r="K132" s="7"/>
      <c r="L132" s="7"/>
      <c r="M132" s="7"/>
      <c r="N132" s="7"/>
      <c r="O132" s="7"/>
      <c r="P132" s="7"/>
      <c r="Q132" s="44"/>
      <c r="R132" s="44"/>
      <c r="S132" s="44"/>
      <c r="T132" s="44"/>
    </row>
    <row r="133" spans="1:20" s="8" customFormat="1" ht="15" x14ac:dyDescent="0.25">
      <c r="A133" s="37" t="s">
        <v>140</v>
      </c>
      <c r="B133" s="33">
        <v>626.74261200000001</v>
      </c>
      <c r="C133" s="34" t="s">
        <v>17</v>
      </c>
      <c r="D133" s="35">
        <v>2</v>
      </c>
      <c r="E133" s="34" t="str">
        <f t="shared" si="1"/>
        <v>Asia Pacific</v>
      </c>
      <c r="F133" s="36">
        <v>2011</v>
      </c>
      <c r="G133" s="52" t="s">
        <v>18</v>
      </c>
      <c r="H133" s="59">
        <v>4.6218600316308409</v>
      </c>
      <c r="I133" s="7"/>
      <c r="J133" s="7"/>
      <c r="K133" s="7"/>
      <c r="L133" s="7"/>
      <c r="M133" s="7"/>
      <c r="N133" s="7"/>
      <c r="O133" s="7"/>
      <c r="P133" s="7"/>
      <c r="Q133" s="44"/>
      <c r="R133" s="44"/>
      <c r="S133" s="44"/>
      <c r="T133" s="44"/>
    </row>
    <row r="134" spans="1:20" s="8" customFormat="1" ht="15" x14ac:dyDescent="0.25">
      <c r="A134" s="37" t="s">
        <v>141</v>
      </c>
      <c r="B134" s="33">
        <v>207.239024</v>
      </c>
      <c r="C134" s="34" t="s">
        <v>17</v>
      </c>
      <c r="D134" s="35">
        <v>1</v>
      </c>
      <c r="E134" s="34" t="str">
        <f t="shared" si="1"/>
        <v>Africa</v>
      </c>
      <c r="F134" s="36">
        <v>2011</v>
      </c>
      <c r="G134" s="52" t="s">
        <v>18</v>
      </c>
      <c r="H134" s="59">
        <v>0.36269689158054841</v>
      </c>
      <c r="I134" s="7"/>
      <c r="J134" s="7"/>
      <c r="K134" s="7"/>
      <c r="L134" s="7"/>
      <c r="M134" s="7"/>
      <c r="N134" s="7"/>
      <c r="O134" s="7"/>
      <c r="P134" s="7"/>
      <c r="Q134" s="44"/>
      <c r="R134" s="44"/>
      <c r="S134" s="44"/>
      <c r="T134" s="44"/>
    </row>
    <row r="135" spans="1:20" s="8" customFormat="1" ht="15" x14ac:dyDescent="0.25">
      <c r="A135" s="37" t="s">
        <v>142</v>
      </c>
      <c r="B135" s="33">
        <v>766.67752199999995</v>
      </c>
      <c r="C135" s="34" t="s">
        <v>17</v>
      </c>
      <c r="D135" s="35">
        <v>4</v>
      </c>
      <c r="E135" s="34" t="str">
        <f t="shared" si="1"/>
        <v>Lat Am/Caribbean</v>
      </c>
      <c r="F135" s="36">
        <v>2011</v>
      </c>
      <c r="G135" s="52" t="s">
        <v>18</v>
      </c>
      <c r="H135" s="59">
        <v>34.1632426302683</v>
      </c>
      <c r="I135" s="7"/>
      <c r="J135" s="7"/>
      <c r="K135" s="7"/>
      <c r="L135" s="7"/>
      <c r="M135" s="7"/>
      <c r="N135" s="7"/>
      <c r="O135" s="7"/>
      <c r="P135" s="7"/>
      <c r="Q135" s="44"/>
      <c r="R135" s="44"/>
      <c r="S135" s="44"/>
      <c r="T135" s="44"/>
    </row>
    <row r="136" spans="1:20" s="8" customFormat="1" ht="15" x14ac:dyDescent="0.25">
      <c r="A136" s="37" t="s">
        <v>143</v>
      </c>
      <c r="B136" s="33">
        <v>572.16941299999996</v>
      </c>
      <c r="C136" s="34" t="s">
        <v>17</v>
      </c>
      <c r="D136" s="35">
        <v>1</v>
      </c>
      <c r="E136" s="34" t="str">
        <f t="shared" si="1"/>
        <v>Africa</v>
      </c>
      <c r="F136" s="36">
        <v>2011</v>
      </c>
      <c r="G136" s="52" t="s">
        <v>18</v>
      </c>
      <c r="H136" s="59">
        <v>2.5870595844832889</v>
      </c>
      <c r="I136" s="7"/>
      <c r="J136" s="7"/>
      <c r="K136" s="7"/>
      <c r="L136" s="7"/>
      <c r="M136" s="7"/>
      <c r="N136" s="7"/>
      <c r="O136" s="7"/>
      <c r="P136" s="7"/>
      <c r="Q136" s="44"/>
      <c r="R136" s="44"/>
      <c r="S136" s="44"/>
      <c r="T136" s="44"/>
    </row>
    <row r="137" spans="1:20" s="8" customFormat="1" ht="15" x14ac:dyDescent="0.25">
      <c r="A137" s="37" t="s">
        <v>144</v>
      </c>
      <c r="B137" s="33">
        <v>865.66454699999997</v>
      </c>
      <c r="C137" s="34" t="s">
        <v>17</v>
      </c>
      <c r="D137" s="35">
        <v>3</v>
      </c>
      <c r="E137" s="34" t="str">
        <f t="shared" si="1"/>
        <v>Europe</v>
      </c>
      <c r="F137" s="36">
        <v>2011</v>
      </c>
      <c r="G137" s="52" t="s">
        <v>18</v>
      </c>
      <c r="H137" s="59">
        <v>4.4914790257194843</v>
      </c>
      <c r="I137" s="7"/>
      <c r="J137" s="7"/>
      <c r="K137" s="7"/>
      <c r="L137" s="7"/>
      <c r="M137" s="7"/>
      <c r="N137" s="7"/>
      <c r="O137" s="7"/>
      <c r="P137" s="7"/>
      <c r="Q137" s="44"/>
      <c r="R137" s="44"/>
      <c r="S137" s="44"/>
      <c r="T137" s="44"/>
    </row>
    <row r="138" spans="1:20" s="8" customFormat="1" ht="15" x14ac:dyDescent="0.25">
      <c r="A138" s="37" t="s">
        <v>145</v>
      </c>
      <c r="B138" s="33">
        <v>644.67255299999999</v>
      </c>
      <c r="C138" s="34" t="s">
        <v>17</v>
      </c>
      <c r="D138" s="35">
        <v>2</v>
      </c>
      <c r="E138" s="34" t="str">
        <f t="shared" si="1"/>
        <v>Asia Pacific</v>
      </c>
      <c r="F138" s="36">
        <v>2011</v>
      </c>
      <c r="G138" s="52" t="s">
        <v>18</v>
      </c>
      <c r="H138" s="59">
        <v>12.517295340618901</v>
      </c>
      <c r="I138" s="7"/>
      <c r="J138" s="7"/>
      <c r="K138" s="7"/>
      <c r="L138" s="7"/>
      <c r="M138" s="7"/>
      <c r="N138" s="7"/>
      <c r="O138" s="7"/>
      <c r="P138" s="7"/>
      <c r="Q138" s="44"/>
      <c r="R138" s="44"/>
      <c r="S138" s="44"/>
      <c r="T138" s="44"/>
    </row>
    <row r="139" spans="1:20" s="8" customFormat="1" ht="15" x14ac:dyDescent="0.25">
      <c r="A139" s="37" t="s">
        <v>146</v>
      </c>
      <c r="B139" s="33">
        <v>563.13292999999999</v>
      </c>
      <c r="C139" s="34" t="s">
        <v>17</v>
      </c>
      <c r="D139" s="35">
        <v>3</v>
      </c>
      <c r="E139" s="34" t="str">
        <f t="shared" si="1"/>
        <v>Europe</v>
      </c>
      <c r="F139" s="36">
        <v>2011</v>
      </c>
      <c r="G139" s="52" t="s">
        <v>18</v>
      </c>
      <c r="H139" s="59">
        <v>5.0207470644017143</v>
      </c>
      <c r="I139" s="7"/>
      <c r="J139" s="7"/>
      <c r="K139" s="7"/>
      <c r="L139" s="7"/>
      <c r="M139" s="7"/>
      <c r="N139" s="7"/>
      <c r="O139" s="7"/>
      <c r="P139" s="7"/>
      <c r="Q139" s="44"/>
      <c r="R139" s="44"/>
      <c r="S139" s="44"/>
      <c r="T139" s="44"/>
    </row>
    <row r="140" spans="1:20" s="8" customFormat="1" ht="15" x14ac:dyDescent="0.25">
      <c r="A140" s="37" t="s">
        <v>147</v>
      </c>
      <c r="B140" s="33">
        <v>938.29749900000002</v>
      </c>
      <c r="C140" s="34" t="s">
        <v>17</v>
      </c>
      <c r="D140" s="35">
        <v>2</v>
      </c>
      <c r="E140" s="34" t="str">
        <f t="shared" si="1"/>
        <v>Asia Pacific</v>
      </c>
      <c r="F140" s="36">
        <v>2011</v>
      </c>
      <c r="G140" s="52" t="s">
        <v>18</v>
      </c>
      <c r="H140" s="59">
        <v>23.302022507881553</v>
      </c>
      <c r="I140" s="7"/>
      <c r="J140" s="7"/>
      <c r="K140" s="7"/>
      <c r="L140" s="7"/>
      <c r="M140" s="7"/>
      <c r="N140" s="7"/>
      <c r="O140" s="7"/>
      <c r="P140" s="7"/>
      <c r="Q140" s="44"/>
      <c r="R140" s="44"/>
      <c r="S140" s="44"/>
      <c r="T140" s="44"/>
    </row>
    <row r="141" spans="1:20" s="8" customFormat="1" ht="15" x14ac:dyDescent="0.25">
      <c r="A141" s="37" t="s">
        <v>148</v>
      </c>
      <c r="B141" s="33">
        <v>469.05</v>
      </c>
      <c r="C141" s="34" t="s">
        <v>17</v>
      </c>
      <c r="D141" s="35">
        <v>3</v>
      </c>
      <c r="E141" s="34" t="str">
        <f t="shared" si="1"/>
        <v>Europe</v>
      </c>
      <c r="F141" s="36">
        <v>2013</v>
      </c>
      <c r="G141" s="52" t="s">
        <v>25</v>
      </c>
      <c r="H141" s="59">
        <v>6.4974404904511713</v>
      </c>
      <c r="I141" s="7"/>
      <c r="J141" s="7"/>
      <c r="K141" s="7"/>
      <c r="L141" s="7"/>
      <c r="M141" s="7"/>
      <c r="N141" s="7"/>
      <c r="O141" s="7"/>
      <c r="P141" s="7"/>
      <c r="Q141" s="44"/>
      <c r="R141" s="44"/>
      <c r="S141" s="44"/>
      <c r="T141" s="44"/>
    </row>
    <row r="142" spans="1:20" s="8" customFormat="1" ht="45.6" x14ac:dyDescent="0.25">
      <c r="A142" s="37" t="s">
        <v>149</v>
      </c>
      <c r="B142" s="33">
        <v>558.98410119999994</v>
      </c>
      <c r="C142" s="34" t="s">
        <v>17</v>
      </c>
      <c r="D142" s="35">
        <v>5</v>
      </c>
      <c r="E142" s="34" t="str">
        <f t="shared" ref="E142:E155" si="2">+VLOOKUP(D142,$D$5:$E$9,2)</f>
        <v>North America</v>
      </c>
      <c r="F142" s="36">
        <v>2014</v>
      </c>
      <c r="G142" s="52" t="s">
        <v>150</v>
      </c>
      <c r="H142" s="60">
        <v>16.493666131623083</v>
      </c>
      <c r="I142" s="7"/>
      <c r="J142" s="7"/>
      <c r="K142" s="7"/>
      <c r="L142" s="7"/>
      <c r="M142" s="7"/>
      <c r="N142" s="7"/>
      <c r="O142" s="7"/>
      <c r="P142" s="7"/>
      <c r="Q142" s="44"/>
      <c r="R142" s="44"/>
      <c r="S142" s="44"/>
      <c r="T142" s="44"/>
    </row>
    <row r="143" spans="1:20" s="8" customFormat="1" ht="15" x14ac:dyDescent="0.25">
      <c r="A143" s="37" t="s">
        <v>151</v>
      </c>
      <c r="B143" s="33">
        <v>303.71397899999999</v>
      </c>
      <c r="C143" s="34" t="s">
        <v>17</v>
      </c>
      <c r="D143" s="35">
        <v>4</v>
      </c>
      <c r="E143" s="34" t="str">
        <f t="shared" si="2"/>
        <v>Lat Am/Caribbean</v>
      </c>
      <c r="F143" s="36">
        <v>2011</v>
      </c>
      <c r="G143" s="52" t="s">
        <v>18</v>
      </c>
      <c r="H143" s="59">
        <v>1.9731508217757563</v>
      </c>
      <c r="I143" s="7"/>
      <c r="J143" s="7"/>
      <c r="K143" s="7"/>
      <c r="L143" s="7"/>
      <c r="M143" s="7"/>
      <c r="N143" s="7"/>
      <c r="O143" s="7"/>
      <c r="P143" s="7"/>
      <c r="Q143" s="44"/>
      <c r="R143" s="44"/>
      <c r="S143" s="44"/>
      <c r="T143" s="44"/>
    </row>
    <row r="144" spans="1:20" s="8" customFormat="1" ht="15" x14ac:dyDescent="0.25">
      <c r="A144" s="32" t="s">
        <v>152</v>
      </c>
      <c r="B144" s="33">
        <v>567.43284900000003</v>
      </c>
      <c r="C144" s="34" t="s">
        <v>17</v>
      </c>
      <c r="D144" s="35">
        <v>2</v>
      </c>
      <c r="E144" s="34" t="str">
        <f t="shared" si="2"/>
        <v>Asia Pacific</v>
      </c>
      <c r="F144" s="36">
        <v>2011</v>
      </c>
      <c r="G144" s="52" t="s">
        <v>18</v>
      </c>
      <c r="H144" s="59">
        <v>3.420722745849007</v>
      </c>
      <c r="I144" s="7"/>
      <c r="J144" s="7"/>
      <c r="K144" s="7"/>
      <c r="L144" s="7"/>
      <c r="M144" s="7"/>
      <c r="N144" s="7"/>
      <c r="O144" s="7"/>
      <c r="P144" s="7"/>
      <c r="Q144" s="44"/>
      <c r="R144" s="44"/>
      <c r="S144" s="44"/>
      <c r="T144" s="44"/>
    </row>
    <row r="145" spans="1:20" s="8" customFormat="1" ht="15" x14ac:dyDescent="0.25">
      <c r="A145" s="32" t="s">
        <v>153</v>
      </c>
      <c r="B145" s="33">
        <v>208.06971899999999</v>
      </c>
      <c r="C145" s="34" t="s">
        <v>17</v>
      </c>
      <c r="D145" s="35">
        <v>4</v>
      </c>
      <c r="E145" s="34" t="str">
        <f t="shared" si="2"/>
        <v>Lat Am/Caribbean</v>
      </c>
      <c r="F145" s="36">
        <v>2011</v>
      </c>
      <c r="G145" s="52" t="s">
        <v>18</v>
      </c>
      <c r="H145" s="59">
        <v>6.0256975823512882</v>
      </c>
      <c r="I145" s="7"/>
      <c r="J145" s="7"/>
      <c r="K145" s="7"/>
      <c r="L145" s="7"/>
      <c r="M145" s="7"/>
      <c r="N145" s="7"/>
      <c r="O145" s="7"/>
      <c r="P145" s="7"/>
      <c r="Q145" s="44"/>
      <c r="R145" s="44"/>
      <c r="S145" s="44"/>
      <c r="T145" s="44"/>
    </row>
    <row r="146" spans="1:20" s="8" customFormat="1" ht="15" x14ac:dyDescent="0.25">
      <c r="A146" s="32" t="s">
        <v>154</v>
      </c>
      <c r="B146" s="33">
        <v>466.848028</v>
      </c>
      <c r="C146" s="34" t="s">
        <v>17</v>
      </c>
      <c r="D146" s="35">
        <v>2</v>
      </c>
      <c r="E146" s="34" t="str">
        <f t="shared" si="2"/>
        <v>Asia Pacific</v>
      </c>
      <c r="F146" s="36">
        <v>2011</v>
      </c>
      <c r="G146" s="52" t="s">
        <v>18</v>
      </c>
      <c r="H146" s="59">
        <v>1.8396656302457102</v>
      </c>
      <c r="I146" s="7"/>
      <c r="J146" s="7"/>
      <c r="K146" s="7"/>
      <c r="L146" s="7"/>
      <c r="M146" s="7"/>
      <c r="N146" s="7"/>
      <c r="O146" s="7"/>
      <c r="P146" s="7"/>
      <c r="Q146" s="44"/>
      <c r="R146" s="44"/>
      <c r="S146" s="44"/>
      <c r="T146" s="44"/>
    </row>
    <row r="147" spans="1:20" s="8" customFormat="1" ht="15" x14ac:dyDescent="0.25">
      <c r="A147" s="32" t="s">
        <v>155</v>
      </c>
      <c r="B147" s="33">
        <v>623.53745299999991</v>
      </c>
      <c r="C147" s="34" t="s">
        <v>17</v>
      </c>
      <c r="D147" s="35">
        <v>2</v>
      </c>
      <c r="E147" s="34" t="str">
        <f t="shared" si="2"/>
        <v>Asia Pacific</v>
      </c>
      <c r="F147" s="36">
        <v>2011</v>
      </c>
      <c r="G147" s="52" t="s">
        <v>18</v>
      </c>
      <c r="H147" s="59">
        <v>0.86483453475223415</v>
      </c>
      <c r="I147" s="7"/>
      <c r="J147" s="7"/>
      <c r="K147" s="7"/>
      <c r="L147" s="7"/>
      <c r="M147" s="7"/>
      <c r="N147" s="7"/>
      <c r="O147" s="7"/>
      <c r="P147" s="7"/>
      <c r="Q147" s="44"/>
      <c r="R147" s="44"/>
      <c r="S147" s="44"/>
      <c r="T147" s="44"/>
    </row>
    <row r="148" spans="1:20" s="8" customFormat="1" ht="15" x14ac:dyDescent="0.25">
      <c r="A148" s="32" t="s">
        <v>156</v>
      </c>
      <c r="B148" s="33">
        <v>644.10610399999996</v>
      </c>
      <c r="C148" s="34" t="s">
        <v>17</v>
      </c>
      <c r="D148" s="35">
        <v>1</v>
      </c>
      <c r="E148" s="34" t="str">
        <f t="shared" si="2"/>
        <v>Africa</v>
      </c>
      <c r="F148" s="36">
        <v>2011</v>
      </c>
      <c r="G148" s="52" t="s">
        <v>18</v>
      </c>
      <c r="H148" s="59">
        <v>0.28827114109529917</v>
      </c>
      <c r="I148" s="7"/>
      <c r="J148" s="7"/>
      <c r="K148" s="7"/>
      <c r="L148" s="7"/>
      <c r="M148" s="7"/>
      <c r="N148" s="7"/>
      <c r="O148" s="7"/>
      <c r="P148" s="7"/>
      <c r="Q148" s="44"/>
      <c r="R148" s="44"/>
      <c r="S148" s="44"/>
      <c r="T148" s="44"/>
    </row>
    <row r="149" spans="1:20" s="8" customFormat="1" ht="15" x14ac:dyDescent="0.25">
      <c r="A149" s="32" t="s">
        <v>157</v>
      </c>
      <c r="B149" s="33">
        <v>3.1973050000000001</v>
      </c>
      <c r="C149" s="34" t="s">
        <v>17</v>
      </c>
      <c r="D149" s="35">
        <v>1</v>
      </c>
      <c r="E149" s="34" t="str">
        <f t="shared" si="2"/>
        <v>Africa</v>
      </c>
      <c r="F149" s="36">
        <v>2011</v>
      </c>
      <c r="G149" s="52" t="s">
        <v>18</v>
      </c>
      <c r="H149" s="59">
        <v>0.77995584516283911</v>
      </c>
      <c r="I149" s="7"/>
      <c r="J149" s="7"/>
      <c r="K149" s="7"/>
      <c r="L149" s="7"/>
      <c r="M149" s="7"/>
      <c r="N149" s="7"/>
      <c r="O149" s="7"/>
      <c r="P149" s="7"/>
      <c r="Q149" s="44"/>
      <c r="R149" s="44"/>
      <c r="S149" s="44"/>
      <c r="T149" s="44"/>
    </row>
    <row r="150" spans="1:20" s="8" customFormat="1" ht="15" x14ac:dyDescent="0.25">
      <c r="A150" s="38" t="s">
        <v>158</v>
      </c>
      <c r="B150" s="33">
        <v>735.76631999999995</v>
      </c>
      <c r="C150" s="34" t="s">
        <v>17</v>
      </c>
      <c r="D150" s="35">
        <v>1</v>
      </c>
      <c r="E150" s="34" t="str">
        <f t="shared" si="2"/>
        <v>Africa</v>
      </c>
      <c r="F150" s="36">
        <v>2011</v>
      </c>
      <c r="G150" s="52" t="s">
        <v>18</v>
      </c>
      <c r="H150" s="59">
        <v>3.9675444884523263</v>
      </c>
      <c r="I150" s="7"/>
      <c r="J150" s="7"/>
      <c r="K150" s="7"/>
      <c r="L150" s="7"/>
      <c r="M150" s="7"/>
      <c r="N150" s="7"/>
      <c r="O150" s="7"/>
      <c r="P150" s="7"/>
      <c r="Q150" s="44"/>
      <c r="R150" s="44"/>
      <c r="S150" s="44"/>
      <c r="T150" s="44"/>
    </row>
    <row r="151" spans="1:20" s="8" customFormat="1" ht="15" x14ac:dyDescent="0.25">
      <c r="A151" s="38" t="s">
        <v>159</v>
      </c>
      <c r="B151" s="33">
        <v>209.693364</v>
      </c>
      <c r="C151" s="34" t="s">
        <v>17</v>
      </c>
      <c r="D151" s="35">
        <v>4</v>
      </c>
      <c r="E151" s="34" t="str">
        <f t="shared" si="2"/>
        <v>Lat Am/Caribbean</v>
      </c>
      <c r="F151" s="36">
        <v>2011</v>
      </c>
      <c r="G151" s="52" t="s">
        <v>18</v>
      </c>
      <c r="H151" s="59">
        <v>3.0633253217569538</v>
      </c>
      <c r="I151" s="7"/>
      <c r="J151" s="7"/>
      <c r="K151" s="7"/>
      <c r="L151" s="7"/>
      <c r="M151" s="7"/>
      <c r="N151" s="7"/>
      <c r="O151" s="7"/>
      <c r="P151" s="7"/>
      <c r="Q151" s="44"/>
      <c r="R151" s="44"/>
      <c r="S151" s="44"/>
      <c r="T151" s="44"/>
    </row>
    <row r="152" spans="1:20" s="8" customFormat="1" ht="15" x14ac:dyDescent="0.25">
      <c r="A152" s="38" t="s">
        <v>160</v>
      </c>
      <c r="B152" s="33">
        <v>209.693364</v>
      </c>
      <c r="C152" s="34" t="s">
        <v>17</v>
      </c>
      <c r="D152" s="35">
        <v>4</v>
      </c>
      <c r="E152" s="34" t="str">
        <f t="shared" si="2"/>
        <v>Lat Am/Caribbean</v>
      </c>
      <c r="F152" s="36">
        <v>2011</v>
      </c>
      <c r="G152" s="52" t="s">
        <v>18</v>
      </c>
      <c r="H152" s="59">
        <v>3.0633253217569538</v>
      </c>
      <c r="I152" s="7"/>
      <c r="J152" s="7"/>
      <c r="K152" s="7"/>
      <c r="L152" s="7"/>
      <c r="M152" s="7"/>
      <c r="N152" s="7"/>
      <c r="O152" s="7"/>
      <c r="P152" s="7"/>
      <c r="Q152" s="44"/>
      <c r="R152" s="44"/>
      <c r="S152" s="44"/>
      <c r="T152" s="44"/>
    </row>
    <row r="153" spans="1:20" s="8" customFormat="1" ht="15" x14ac:dyDescent="0.25">
      <c r="A153" s="38" t="s">
        <v>161</v>
      </c>
      <c r="B153" s="33">
        <v>928.29063300000007</v>
      </c>
      <c r="C153" s="34" t="s">
        <v>17</v>
      </c>
      <c r="D153" s="35">
        <v>2</v>
      </c>
      <c r="E153" s="34" t="str">
        <f t="shared" si="2"/>
        <v>Asia Pacific</v>
      </c>
      <c r="F153" s="36">
        <v>2011</v>
      </c>
      <c r="G153" s="52" t="s">
        <v>18</v>
      </c>
      <c r="H153" s="59">
        <v>6.2986570103867878</v>
      </c>
      <c r="I153" s="7"/>
      <c r="J153" s="7"/>
      <c r="K153" s="7"/>
      <c r="L153" s="7"/>
      <c r="M153" s="7"/>
      <c r="N153" s="7"/>
      <c r="O153" s="7"/>
      <c r="P153" s="7"/>
      <c r="Q153" s="44"/>
      <c r="R153" s="44"/>
      <c r="S153" s="44"/>
      <c r="T153" s="44"/>
    </row>
    <row r="154" spans="1:20" s="8" customFormat="1" ht="15" x14ac:dyDescent="0.25">
      <c r="A154" s="38" t="s">
        <v>162</v>
      </c>
      <c r="B154" s="33">
        <v>529.48147499999993</v>
      </c>
      <c r="C154" s="34" t="s">
        <v>17</v>
      </c>
      <c r="D154" s="35">
        <v>2</v>
      </c>
      <c r="E154" s="34" t="str">
        <f t="shared" si="2"/>
        <v>Asia Pacific</v>
      </c>
      <c r="F154" s="36">
        <v>2011</v>
      </c>
      <c r="G154" s="52" t="s">
        <v>18</v>
      </c>
      <c r="H154" s="59">
        <v>6.2986570103867878</v>
      </c>
      <c r="I154" s="7"/>
      <c r="J154" s="7"/>
      <c r="K154" s="7"/>
      <c r="L154" s="7"/>
      <c r="M154" s="7"/>
      <c r="N154" s="7"/>
      <c r="O154" s="7"/>
      <c r="P154" s="7"/>
      <c r="Q154" s="44"/>
      <c r="R154" s="44"/>
      <c r="S154" s="44"/>
      <c r="T154" s="44"/>
    </row>
    <row r="155" spans="1:20" s="8" customFormat="1" ht="15" x14ac:dyDescent="0.25">
      <c r="A155" s="38" t="s">
        <v>163</v>
      </c>
      <c r="B155" s="33">
        <v>822.49714900000004</v>
      </c>
      <c r="C155" s="34" t="s">
        <v>17</v>
      </c>
      <c r="D155" s="35">
        <v>3</v>
      </c>
      <c r="E155" s="34" t="str">
        <f t="shared" si="2"/>
        <v>Europe</v>
      </c>
      <c r="F155" s="36">
        <v>2011</v>
      </c>
      <c r="G155" s="52" t="s">
        <v>18</v>
      </c>
      <c r="H155" s="59">
        <v>6.379608619455543</v>
      </c>
      <c r="I155" s="7"/>
      <c r="J155" s="7"/>
      <c r="K155" s="7"/>
      <c r="L155" s="7"/>
      <c r="M155" s="7"/>
      <c r="N155" s="7"/>
      <c r="O155" s="7"/>
      <c r="P155" s="7"/>
      <c r="Q155" s="44"/>
      <c r="R155" s="44"/>
      <c r="S155" s="44"/>
      <c r="T155" s="44"/>
    </row>
    <row r="156" spans="1:20" s="44" customFormat="1" x14ac:dyDescent="0.25">
      <c r="A156" s="39" t="s">
        <v>164</v>
      </c>
      <c r="B156" s="39"/>
      <c r="C156" s="40"/>
      <c r="D156" s="41"/>
      <c r="E156" s="42"/>
      <c r="F156" s="43"/>
      <c r="H156"/>
      <c r="I156" s="45"/>
      <c r="J156" s="45"/>
      <c r="K156" s="45"/>
      <c r="L156" s="45"/>
      <c r="M156" s="45"/>
      <c r="N156" s="45"/>
      <c r="O156" s="45"/>
      <c r="P156" s="63"/>
      <c r="Q156" s="45"/>
      <c r="R156" s="45"/>
    </row>
    <row r="157" spans="1:20" s="39" customFormat="1" ht="11.4" x14ac:dyDescent="0.25">
      <c r="A157" s="39" t="s">
        <v>165</v>
      </c>
      <c r="C157" s="40"/>
      <c r="D157" s="68"/>
      <c r="E157" s="69"/>
      <c r="F157" s="70"/>
      <c r="H157" s="7"/>
      <c r="I157" s="71"/>
      <c r="J157" s="71"/>
      <c r="K157" s="71"/>
      <c r="L157" s="71"/>
      <c r="M157" s="71"/>
      <c r="N157" s="71"/>
      <c r="O157" s="71"/>
      <c r="P157" s="72"/>
      <c r="Q157" s="71"/>
      <c r="R157" s="71"/>
    </row>
    <row r="158" spans="1:20" s="67" customFormat="1" ht="26.25" customHeight="1" x14ac:dyDescent="0.25">
      <c r="A158" s="641" t="s">
        <v>640</v>
      </c>
      <c r="B158" s="641"/>
      <c r="C158" s="641"/>
      <c r="D158" s="641"/>
      <c r="E158" s="641"/>
      <c r="F158" s="641"/>
      <c r="G158" s="641"/>
      <c r="H158" s="641"/>
    </row>
    <row r="159" spans="1:20" s="67" customFormat="1" x14ac:dyDescent="0.25"/>
    <row r="160" spans="1:20" s="67" customFormat="1" x14ac:dyDescent="0.25"/>
    <row r="161" s="67" customFormat="1" x14ac:dyDescent="0.25"/>
    <row r="162" s="67" customFormat="1" x14ac:dyDescent="0.25"/>
    <row r="163" s="67" customFormat="1" x14ac:dyDescent="0.25"/>
    <row r="164" s="67" customFormat="1" x14ac:dyDescent="0.25"/>
    <row r="165" s="67" customFormat="1" x14ac:dyDescent="0.25"/>
    <row r="166" s="67" customFormat="1" x14ac:dyDescent="0.25"/>
    <row r="167" s="67" customFormat="1" x14ac:dyDescent="0.25"/>
    <row r="168" s="67" customFormat="1" x14ac:dyDescent="0.25"/>
    <row r="169" s="67" customFormat="1" x14ac:dyDescent="0.25"/>
    <row r="170" s="67" customFormat="1" x14ac:dyDescent="0.25"/>
    <row r="171" s="67" customFormat="1" x14ac:dyDescent="0.25"/>
    <row r="172" s="67" customFormat="1" x14ac:dyDescent="0.25"/>
    <row r="173" s="67" customFormat="1" x14ac:dyDescent="0.25"/>
    <row r="174" s="67" customFormat="1" x14ac:dyDescent="0.25"/>
    <row r="175" s="67" customFormat="1" x14ac:dyDescent="0.25"/>
    <row r="176" s="67" customFormat="1" x14ac:dyDescent="0.25"/>
    <row r="177" s="67" customFormat="1" x14ac:dyDescent="0.25"/>
    <row r="178" s="67" customFormat="1" x14ac:dyDescent="0.25"/>
    <row r="179" s="67" customFormat="1" x14ac:dyDescent="0.25"/>
    <row r="180" s="67" customFormat="1" x14ac:dyDescent="0.25"/>
    <row r="181" s="67" customFormat="1" x14ac:dyDescent="0.25"/>
  </sheetData>
  <sheetProtection algorithmName="SHA-512" hashValue="sXLoiyNOG/43lGNX8i6ANuw+jf3lmszABuJ3ni7oC+SEt3yaHu/dWbd9qOYii7SsJa7AVh3l0Dy2Bc5HgYGm5A==" saltValue="nCRmEIVMUXaDJFZDwM8Jfg==" spinCount="100000" sheet="1" selectLockedCells="1" selectUnlockedCells="1"/>
  <mergeCells count="3">
    <mergeCell ref="D11:E11"/>
    <mergeCell ref="A3:E3"/>
    <mergeCell ref="A158:H158"/>
  </mergeCells>
  <hyperlinks>
    <hyperlink ref="G73" r:id="rId1" xr:uid="{00000000-0004-0000-0500-000000000000}"/>
  </hyperlinks>
  <pageMargins left="0.7" right="0.7" top="0.78740157499999996" bottom="0.78740157499999996" header="0.3" footer="0.3"/>
  <pageSetup paperSize="9" orientation="portrait"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46"/>
  <sheetViews>
    <sheetView zoomScale="80" zoomScaleNormal="80" workbookViewId="0">
      <pane ySplit="11" topLeftCell="A12" activePane="bottomLeft" state="frozen"/>
      <selection pane="bottomLeft" sqref="A1:D1"/>
    </sheetView>
  </sheetViews>
  <sheetFormatPr baseColWidth="10" defaultColWidth="11.44140625" defaultRowHeight="13.2" x14ac:dyDescent="0.25"/>
  <cols>
    <col min="1" max="1" width="41.44140625" style="570" customWidth="1"/>
    <col min="2" max="2" width="14.33203125" style="613" customWidth="1"/>
    <col min="3" max="3" width="16.6640625" style="570" customWidth="1"/>
    <col min="4" max="4" width="3.6640625" style="570" customWidth="1"/>
    <col min="5" max="6" width="11.5546875" style="569" customWidth="1"/>
    <col min="7" max="16384" width="11.44140625" style="570"/>
  </cols>
  <sheetData>
    <row r="1" spans="1:5" ht="35.25" customHeight="1" x14ac:dyDescent="0.25">
      <c r="A1" s="642" t="s">
        <v>513</v>
      </c>
      <c r="B1" s="642"/>
      <c r="C1" s="642"/>
      <c r="D1" s="642"/>
    </row>
    <row r="2" spans="1:5" ht="20.399999999999999" customHeight="1" x14ac:dyDescent="0.25">
      <c r="A2" s="571"/>
      <c r="B2" s="572"/>
      <c r="C2" s="571"/>
      <c r="D2" s="571"/>
      <c r="E2" s="573"/>
    </row>
    <row r="3" spans="1:5" x14ac:dyDescent="0.25">
      <c r="A3" s="571" t="s">
        <v>618</v>
      </c>
      <c r="B3" s="572"/>
      <c r="C3" s="574">
        <f>ALECA_Input!F5</f>
        <v>0</v>
      </c>
      <c r="D3" s="571"/>
    </row>
    <row r="4" spans="1:5" x14ac:dyDescent="0.25">
      <c r="A4" s="571" t="s">
        <v>3424</v>
      </c>
      <c r="B4" s="572"/>
      <c r="C4" s="574">
        <f>ALECA_Input!C7</f>
        <v>0</v>
      </c>
      <c r="D4" s="571"/>
    </row>
    <row r="5" spans="1:5" ht="8.25" customHeight="1" x14ac:dyDescent="0.25">
      <c r="A5" s="571"/>
      <c r="B5" s="572"/>
      <c r="C5" s="571"/>
      <c r="D5" s="571"/>
    </row>
    <row r="6" spans="1:5" x14ac:dyDescent="0.25">
      <c r="A6" s="571" t="s">
        <v>503</v>
      </c>
      <c r="B6" s="572"/>
      <c r="C6" s="575">
        <f>ALECA_Input!F7</f>
        <v>0</v>
      </c>
      <c r="D6" s="571"/>
      <c r="E6" s="573"/>
    </row>
    <row r="7" spans="1:5" x14ac:dyDescent="0.25">
      <c r="A7" s="571" t="s">
        <v>3562</v>
      </c>
      <c r="B7" s="572"/>
      <c r="C7" s="576">
        <f>ALECA_Input!J7</f>
        <v>0</v>
      </c>
      <c r="D7" s="571"/>
      <c r="E7" s="573"/>
    </row>
    <row r="8" spans="1:5" x14ac:dyDescent="0.25">
      <c r="A8" s="571" t="s">
        <v>3425</v>
      </c>
      <c r="B8" s="572"/>
      <c r="C8" s="576" t="str">
        <f>ALECA_Input!F13</f>
        <v>ICAO (3000ft)</v>
      </c>
      <c r="D8" s="571"/>
    </row>
    <row r="9" spans="1:5" x14ac:dyDescent="0.25">
      <c r="A9" s="571" t="s">
        <v>3597</v>
      </c>
      <c r="B9" s="572"/>
      <c r="C9" s="576" t="str">
        <f>ALECA_Input!D121</f>
        <v>Variable</v>
      </c>
      <c r="D9" s="571"/>
    </row>
    <row r="10" spans="1:5" x14ac:dyDescent="0.25">
      <c r="A10" s="571" t="s">
        <v>3499</v>
      </c>
      <c r="B10" s="572"/>
      <c r="C10" s="576" t="str">
        <f>ALECA_Input!J13</f>
        <v>Performance-based</v>
      </c>
      <c r="D10" s="571"/>
    </row>
    <row r="11" spans="1:5" ht="6" customHeight="1" x14ac:dyDescent="0.25">
      <c r="A11" s="571"/>
      <c r="B11" s="572"/>
      <c r="C11" s="577"/>
      <c r="D11" s="571"/>
    </row>
    <row r="12" spans="1:5" x14ac:dyDescent="0.25">
      <c r="A12" s="578" t="s">
        <v>560</v>
      </c>
      <c r="B12" s="579"/>
      <c r="C12" s="580"/>
      <c r="D12" s="580"/>
    </row>
    <row r="13" spans="1:5" x14ac:dyDescent="0.25">
      <c r="A13" s="571" t="s">
        <v>550</v>
      </c>
      <c r="B13" s="572" t="s">
        <v>510</v>
      </c>
      <c r="C13" s="581">
        <f>ALECA_Input!F9</f>
        <v>0</v>
      </c>
      <c r="D13" s="571"/>
      <c r="E13" s="582"/>
    </row>
    <row r="14" spans="1:5" x14ac:dyDescent="0.25">
      <c r="A14" s="571" t="s">
        <v>561</v>
      </c>
      <c r="B14" s="572" t="s">
        <v>562</v>
      </c>
      <c r="C14" s="581">
        <f>ALECA_Input!C9</f>
        <v>0</v>
      </c>
      <c r="D14" s="571"/>
      <c r="E14" s="583"/>
    </row>
    <row r="15" spans="1:5" x14ac:dyDescent="0.25">
      <c r="A15" s="571" t="s">
        <v>563</v>
      </c>
      <c r="B15" s="572" t="s">
        <v>504</v>
      </c>
      <c r="C15" s="581">
        <f>ALECA_Input!J9</f>
        <v>0</v>
      </c>
      <c r="D15" s="571"/>
      <c r="E15" s="583"/>
    </row>
    <row r="16" spans="1:5" ht="6" customHeight="1" x14ac:dyDescent="0.25">
      <c r="A16" s="571"/>
      <c r="B16" s="572"/>
      <c r="C16" s="577"/>
      <c r="D16" s="571"/>
    </row>
    <row r="17" spans="1:4" x14ac:dyDescent="0.25">
      <c r="A17" s="578" t="s">
        <v>3282</v>
      </c>
      <c r="B17" s="579"/>
      <c r="C17" s="580"/>
      <c r="D17" s="580"/>
    </row>
    <row r="18" spans="1:4" ht="3.6" customHeight="1" x14ac:dyDescent="0.25">
      <c r="A18" s="571"/>
      <c r="B18" s="572"/>
      <c r="C18" s="571"/>
      <c r="D18" s="571"/>
    </row>
    <row r="19" spans="1:4" x14ac:dyDescent="0.25">
      <c r="A19" s="571" t="str">
        <f>'Aircraft Calc'!A186</f>
        <v>Large</v>
      </c>
      <c r="B19" s="572" t="s">
        <v>510</v>
      </c>
      <c r="C19" s="581">
        <f>'Aircraft Calc'!H186</f>
        <v>0</v>
      </c>
      <c r="D19" s="571"/>
    </row>
    <row r="20" spans="1:4" x14ac:dyDescent="0.25">
      <c r="A20" s="571" t="str">
        <f>'Aircraft Calc'!A187</f>
        <v>Medium</v>
      </c>
      <c r="B20" s="572" t="s">
        <v>510</v>
      </c>
      <c r="C20" s="581">
        <f>'Aircraft Calc'!H187</f>
        <v>0</v>
      </c>
      <c r="D20" s="571"/>
    </row>
    <row r="21" spans="1:4" x14ac:dyDescent="0.25">
      <c r="A21" s="571" t="str">
        <f>'Aircraft Calc'!A188</f>
        <v>Small</v>
      </c>
      <c r="B21" s="572" t="s">
        <v>510</v>
      </c>
      <c r="C21" s="581">
        <f>'Aircraft Calc'!H188</f>
        <v>0</v>
      </c>
      <c r="D21" s="571"/>
    </row>
    <row r="22" spans="1:4" x14ac:dyDescent="0.25">
      <c r="A22" s="571" t="str">
        <f>'Aircraft Calc'!A189</f>
        <v>Regional</v>
      </c>
      <c r="B22" s="572" t="s">
        <v>510</v>
      </c>
      <c r="C22" s="581">
        <f>'Aircraft Calc'!H189</f>
        <v>0</v>
      </c>
      <c r="D22" s="571"/>
    </row>
    <row r="23" spans="1:4" x14ac:dyDescent="0.25">
      <c r="A23" s="571" t="str">
        <f>'Aircraft Calc'!A190</f>
        <v>Business</v>
      </c>
      <c r="B23" s="572" t="s">
        <v>510</v>
      </c>
      <c r="C23" s="581">
        <f>'Aircraft Calc'!H190</f>
        <v>0</v>
      </c>
      <c r="D23" s="571"/>
    </row>
    <row r="24" spans="1:4" x14ac:dyDescent="0.25">
      <c r="A24" s="571" t="str">
        <f>'Aircraft Calc'!A191</f>
        <v>Turboprop</v>
      </c>
      <c r="B24" s="572" t="s">
        <v>510</v>
      </c>
      <c r="C24" s="581">
        <f>'Aircraft Calc'!H191</f>
        <v>0</v>
      </c>
      <c r="D24" s="571"/>
    </row>
    <row r="25" spans="1:4" x14ac:dyDescent="0.25">
      <c r="A25" s="571" t="str">
        <f>'Aircraft Calc'!A192</f>
        <v>Piston</v>
      </c>
      <c r="B25" s="572" t="s">
        <v>510</v>
      </c>
      <c r="C25" s="581">
        <f>'Aircraft Calc'!H192</f>
        <v>0</v>
      </c>
      <c r="D25" s="571"/>
    </row>
    <row r="26" spans="1:4" x14ac:dyDescent="0.25">
      <c r="A26" s="571" t="str">
        <f>'Aircraft Calc'!A193</f>
        <v>Helicopter</v>
      </c>
      <c r="B26" s="572" t="s">
        <v>510</v>
      </c>
      <c r="C26" s="581">
        <f>'Aircraft Calc'!H193</f>
        <v>0</v>
      </c>
      <c r="D26" s="571"/>
    </row>
    <row r="27" spans="1:4" x14ac:dyDescent="0.25">
      <c r="A27" s="575" t="str">
        <f>CONCATENATE('Aircraft Calc'!A194," specified")</f>
        <v>Total specified</v>
      </c>
      <c r="B27" s="584" t="s">
        <v>510</v>
      </c>
      <c r="C27" s="585">
        <f>'Aircraft Calc'!H194</f>
        <v>0</v>
      </c>
      <c r="D27" s="575"/>
    </row>
    <row r="28" spans="1:4" ht="8.4" customHeight="1" x14ac:dyDescent="0.25">
      <c r="A28" s="571"/>
      <c r="B28" s="572"/>
      <c r="C28" s="571"/>
      <c r="D28" s="571"/>
    </row>
    <row r="29" spans="1:4" x14ac:dyDescent="0.25">
      <c r="A29" s="578" t="s">
        <v>3598</v>
      </c>
      <c r="B29" s="579"/>
      <c r="C29" s="586"/>
      <c r="D29" s="580"/>
    </row>
    <row r="30" spans="1:4" ht="5.4" customHeight="1" x14ac:dyDescent="0.25">
      <c r="A30" s="571"/>
      <c r="B30" s="572"/>
      <c r="C30" s="587"/>
      <c r="D30" s="571"/>
    </row>
    <row r="31" spans="1:4" ht="14.25" customHeight="1" x14ac:dyDescent="0.25">
      <c r="A31" s="571" t="s">
        <v>558</v>
      </c>
      <c r="B31" s="572" t="s">
        <v>559</v>
      </c>
      <c r="C31" s="581">
        <f>ALECA_Input!C9+(ALECA_Input!J9*10)</f>
        <v>0</v>
      </c>
      <c r="D31" s="571"/>
    </row>
    <row r="32" spans="1:4" ht="14.25" customHeight="1" x14ac:dyDescent="0.25">
      <c r="A32" s="571" t="s">
        <v>3389</v>
      </c>
      <c r="B32" s="572" t="s">
        <v>3390</v>
      </c>
      <c r="C32" s="581" t="e">
        <f>C31/C13</f>
        <v>#DIV/0!</v>
      </c>
      <c r="D32" s="571"/>
    </row>
    <row r="33" spans="1:6" ht="14.25" customHeight="1" x14ac:dyDescent="0.25">
      <c r="A33" s="571" t="s">
        <v>3436</v>
      </c>
      <c r="B33" s="572" t="s">
        <v>3432</v>
      </c>
      <c r="C33" s="588" t="e">
        <f>'Aircraft Calc'!C196</f>
        <v>#DIV/0!</v>
      </c>
      <c r="D33" s="571"/>
    </row>
    <row r="34" spans="1:6" ht="14.25" customHeight="1" x14ac:dyDescent="0.25">
      <c r="A34" s="571" t="s">
        <v>3391</v>
      </c>
      <c r="B34" s="572" t="s">
        <v>3392</v>
      </c>
      <c r="C34" s="581">
        <f>'Aircraft Calc'!D229+('Rest Calc'!D121/60)</f>
        <v>0</v>
      </c>
      <c r="D34" s="571"/>
    </row>
    <row r="35" spans="1:6" ht="14.25" customHeight="1" x14ac:dyDescent="0.25">
      <c r="A35" s="571" t="s">
        <v>3396</v>
      </c>
      <c r="B35" s="572" t="s">
        <v>3397</v>
      </c>
      <c r="C35" s="581">
        <f>ALECA_Input!K155</f>
        <v>0</v>
      </c>
      <c r="D35" s="571"/>
    </row>
    <row r="36" spans="1:6" ht="15.6" x14ac:dyDescent="0.35">
      <c r="A36" s="571" t="s">
        <v>3363</v>
      </c>
      <c r="B36" s="572" t="s">
        <v>2967</v>
      </c>
      <c r="C36" s="587" t="e">
        <f>C49*1000/C31</f>
        <v>#DIV/0!</v>
      </c>
      <c r="D36" s="571"/>
    </row>
    <row r="37" spans="1:6" ht="15.6" x14ac:dyDescent="0.35">
      <c r="A37" s="571" t="s">
        <v>3364</v>
      </c>
      <c r="B37" s="572" t="s">
        <v>2968</v>
      </c>
      <c r="C37" s="587" t="e">
        <f>C49*1000/ALECA_Input!C9</f>
        <v>#DIV/0!</v>
      </c>
      <c r="D37" s="571"/>
    </row>
    <row r="38" spans="1:6" x14ac:dyDescent="0.25">
      <c r="A38" s="571" t="s">
        <v>556</v>
      </c>
      <c r="B38" s="572" t="s">
        <v>557</v>
      </c>
      <c r="C38" s="587" t="e">
        <f>C61*1000*1000/C31</f>
        <v>#DIV/0!</v>
      </c>
      <c r="D38" s="571"/>
    </row>
    <row r="39" spans="1:6" ht="15.6" x14ac:dyDescent="0.35">
      <c r="A39" s="571" t="s">
        <v>3284</v>
      </c>
      <c r="B39" s="572" t="s">
        <v>568</v>
      </c>
      <c r="C39" s="581" t="e">
        <f>ROUND(C49/'Rest Calc'!B13,0)</f>
        <v>#N/A</v>
      </c>
      <c r="D39" s="571"/>
    </row>
    <row r="40" spans="1:6" ht="6" customHeight="1" x14ac:dyDescent="0.25">
      <c r="A40" s="571"/>
      <c r="B40" s="572"/>
      <c r="C40" s="587"/>
      <c r="D40" s="571"/>
    </row>
    <row r="41" spans="1:6" x14ac:dyDescent="0.25">
      <c r="A41" s="578" t="s">
        <v>3599</v>
      </c>
      <c r="B41" s="579"/>
      <c r="C41" s="580"/>
      <c r="D41" s="580"/>
    </row>
    <row r="42" spans="1:6" ht="7.2" customHeight="1" x14ac:dyDescent="0.25">
      <c r="A42" s="571"/>
      <c r="B42" s="572"/>
      <c r="C42" s="571"/>
      <c r="D42" s="571"/>
    </row>
    <row r="43" spans="1:6" x14ac:dyDescent="0.25">
      <c r="A43" s="571" t="s">
        <v>505</v>
      </c>
      <c r="B43" s="572" t="s">
        <v>504</v>
      </c>
      <c r="C43" s="589">
        <f>C61</f>
        <v>0</v>
      </c>
      <c r="D43" s="571"/>
      <c r="F43" s="590"/>
    </row>
    <row r="44" spans="1:6" x14ac:dyDescent="0.25">
      <c r="A44" s="571" t="s">
        <v>506</v>
      </c>
      <c r="B44" s="572" t="s">
        <v>504</v>
      </c>
      <c r="C44" s="589">
        <f>C73</f>
        <v>0</v>
      </c>
      <c r="D44" s="571"/>
      <c r="F44" s="590"/>
    </row>
    <row r="45" spans="1:6" x14ac:dyDescent="0.25">
      <c r="A45" s="571" t="s">
        <v>507</v>
      </c>
      <c r="B45" s="572" t="s">
        <v>504</v>
      </c>
      <c r="C45" s="589">
        <f>C85</f>
        <v>0</v>
      </c>
      <c r="D45" s="571"/>
      <c r="F45" s="590"/>
    </row>
    <row r="46" spans="1:6" x14ac:dyDescent="0.25">
      <c r="A46" s="571" t="s">
        <v>508</v>
      </c>
      <c r="B46" s="572" t="s">
        <v>504</v>
      </c>
      <c r="C46" s="589">
        <f>C97</f>
        <v>0</v>
      </c>
      <c r="D46" s="571"/>
      <c r="F46" s="590"/>
    </row>
    <row r="47" spans="1:6" x14ac:dyDescent="0.25">
      <c r="A47" s="571" t="s">
        <v>509</v>
      </c>
      <c r="B47" s="572" t="s">
        <v>504</v>
      </c>
      <c r="C47" s="589">
        <f>C109</f>
        <v>0</v>
      </c>
      <c r="D47" s="571"/>
      <c r="F47" s="590"/>
    </row>
    <row r="48" spans="1:6" x14ac:dyDescent="0.25">
      <c r="A48" s="571" t="s">
        <v>573</v>
      </c>
      <c r="B48" s="572" t="s">
        <v>574</v>
      </c>
      <c r="C48" s="591">
        <f>C121</f>
        <v>0</v>
      </c>
      <c r="D48" s="571"/>
      <c r="F48" s="590"/>
    </row>
    <row r="49" spans="1:6" ht="15.6" x14ac:dyDescent="0.35">
      <c r="A49" s="571" t="s">
        <v>3350</v>
      </c>
      <c r="B49" s="572" t="s">
        <v>504</v>
      </c>
      <c r="C49" s="581">
        <f>C133</f>
        <v>0</v>
      </c>
      <c r="D49" s="571"/>
      <c r="F49" s="590"/>
    </row>
    <row r="50" spans="1:6" ht="6" customHeight="1" x14ac:dyDescent="0.25">
      <c r="A50" s="571"/>
      <c r="B50" s="572"/>
      <c r="C50" s="587"/>
      <c r="D50" s="571"/>
    </row>
    <row r="51" spans="1:6" x14ac:dyDescent="0.25">
      <c r="A51" s="578" t="s">
        <v>3354</v>
      </c>
      <c r="B51" s="579"/>
      <c r="C51" s="586"/>
      <c r="D51" s="580"/>
    </row>
    <row r="52" spans="1:6" x14ac:dyDescent="0.25">
      <c r="A52" s="571" t="str">
        <f>CONCATENATE("Aircraft Main Engine (LTO: ",ALECA_Input!F13,")")</f>
        <v>Aircraft Main Engine (LTO: ICAO (3000ft))</v>
      </c>
      <c r="B52" s="572" t="s">
        <v>504</v>
      </c>
      <c r="C52" s="592">
        <f>'Aircraft Calc'!I204/1000+'Rest Calc'!F106/1000</f>
        <v>0</v>
      </c>
      <c r="D52" s="571"/>
      <c r="E52" s="593"/>
      <c r="F52" s="590"/>
    </row>
    <row r="53" spans="1:6" x14ac:dyDescent="0.25">
      <c r="A53" s="571" t="s">
        <v>3347</v>
      </c>
      <c r="B53" s="572" t="s">
        <v>504</v>
      </c>
      <c r="C53" s="592"/>
      <c r="D53" s="571"/>
      <c r="F53" s="590"/>
    </row>
    <row r="54" spans="1:6" x14ac:dyDescent="0.25">
      <c r="A54" s="571" t="s">
        <v>3455</v>
      </c>
      <c r="B54" s="572" t="s">
        <v>504</v>
      </c>
      <c r="C54" s="592"/>
      <c r="D54" s="571"/>
      <c r="F54" s="590"/>
    </row>
    <row r="55" spans="1:6" x14ac:dyDescent="0.25">
      <c r="A55" s="571" t="s">
        <v>187</v>
      </c>
      <c r="B55" s="572" t="s">
        <v>504</v>
      </c>
      <c r="C55" s="592">
        <f>'Aircraft Calc'!I235/1000+'Rest Calc'!F119/1000</f>
        <v>0</v>
      </c>
      <c r="D55" s="571"/>
      <c r="F55" s="590"/>
    </row>
    <row r="56" spans="1:6" x14ac:dyDescent="0.25">
      <c r="A56" s="571" t="s">
        <v>168</v>
      </c>
      <c r="B56" s="572" t="s">
        <v>504</v>
      </c>
      <c r="C56" s="592">
        <f>'Rest Calc'!F24/1000</f>
        <v>0</v>
      </c>
      <c r="D56" s="571"/>
      <c r="F56" s="590"/>
    </row>
    <row r="57" spans="1:6" x14ac:dyDescent="0.25">
      <c r="A57" s="571" t="s">
        <v>3348</v>
      </c>
      <c r="B57" s="572" t="s">
        <v>504</v>
      </c>
      <c r="C57" s="592">
        <f>IF(ALECA_Input!F$141='Rest Calc'!G13,'Rest Calc'!F39/1000,IF(ALECA_Input!F$141='Rest Calc'!G14,'Rest Calc'!F48/1000,IF(ALECA_Input!F$141='Rest Calc'!G15,'Rest Calc'!F73/1000,0)))</f>
        <v>0</v>
      </c>
      <c r="D57" s="571"/>
      <c r="F57" s="590"/>
    </row>
    <row r="58" spans="1:6" x14ac:dyDescent="0.25">
      <c r="A58" s="571" t="s">
        <v>542</v>
      </c>
      <c r="B58" s="572" t="s">
        <v>504</v>
      </c>
      <c r="C58" s="592">
        <f>'Rest Calc'!F95/1000</f>
        <v>0</v>
      </c>
      <c r="D58" s="571"/>
      <c r="F58" s="590"/>
    </row>
    <row r="59" spans="1:6" x14ac:dyDescent="0.25">
      <c r="A59" s="571" t="s">
        <v>191</v>
      </c>
      <c r="B59" s="572" t="s">
        <v>504</v>
      </c>
      <c r="C59" s="592"/>
      <c r="D59" s="571"/>
      <c r="F59" s="590"/>
    </row>
    <row r="60" spans="1:6" x14ac:dyDescent="0.25">
      <c r="A60" s="571" t="s">
        <v>3349</v>
      </c>
      <c r="B60" s="572" t="s">
        <v>504</v>
      </c>
      <c r="C60" s="592">
        <f>'Rest Calc'!F160/1000</f>
        <v>0</v>
      </c>
      <c r="D60" s="571"/>
      <c r="F60" s="590"/>
    </row>
    <row r="61" spans="1:6" x14ac:dyDescent="0.25">
      <c r="A61" s="575" t="s">
        <v>505</v>
      </c>
      <c r="B61" s="584" t="s">
        <v>504</v>
      </c>
      <c r="C61" s="594">
        <f>SUM(C52:C60)</f>
        <v>0</v>
      </c>
      <c r="D61" s="571"/>
      <c r="E61" s="595"/>
      <c r="F61" s="590"/>
    </row>
    <row r="62" spans="1:6" ht="6" customHeight="1" x14ac:dyDescent="0.25">
      <c r="A62" s="571"/>
      <c r="B62" s="572"/>
      <c r="C62" s="571"/>
      <c r="D62" s="571"/>
    </row>
    <row r="63" spans="1:6" x14ac:dyDescent="0.25">
      <c r="A63" s="578" t="s">
        <v>3355</v>
      </c>
      <c r="B63" s="579"/>
      <c r="C63" s="586"/>
      <c r="D63" s="580"/>
    </row>
    <row r="64" spans="1:6" x14ac:dyDescent="0.25">
      <c r="A64" s="571" t="str">
        <f>CONCATENATE("Aircraft Main Engine (LTO: ",ALECA_Input!F$13,")")</f>
        <v>Aircraft Main Engine (LTO: ICAO (3000ft))</v>
      </c>
      <c r="B64" s="572" t="s">
        <v>504</v>
      </c>
      <c r="C64" s="587">
        <f>'Aircraft Calc'!J204/1000+'Rest Calc'!G106/1000</f>
        <v>0</v>
      </c>
      <c r="D64" s="571"/>
      <c r="E64" s="593"/>
      <c r="F64" s="590"/>
    </row>
    <row r="65" spans="1:6" x14ac:dyDescent="0.25">
      <c r="A65" s="571" t="s">
        <v>3347</v>
      </c>
      <c r="B65" s="572" t="s">
        <v>504</v>
      </c>
      <c r="C65" s="587">
        <f>'Aircraft Calc'!P204/1000</f>
        <v>0</v>
      </c>
      <c r="D65" s="571"/>
      <c r="F65" s="590"/>
    </row>
    <row r="66" spans="1:6" x14ac:dyDescent="0.25">
      <c r="A66" s="571" t="s">
        <v>3455</v>
      </c>
      <c r="B66" s="572"/>
      <c r="C66" s="587"/>
      <c r="D66" s="571"/>
      <c r="F66" s="590"/>
    </row>
    <row r="67" spans="1:6" x14ac:dyDescent="0.25">
      <c r="A67" s="571" t="s">
        <v>187</v>
      </c>
      <c r="B67" s="572" t="s">
        <v>504</v>
      </c>
      <c r="C67" s="587">
        <f>'Aircraft Calc'!J235/1000+'Rest Calc'!G119/1000</f>
        <v>0</v>
      </c>
      <c r="D67" s="571"/>
      <c r="F67" s="590"/>
    </row>
    <row r="68" spans="1:6" x14ac:dyDescent="0.25">
      <c r="A68" s="571" t="s">
        <v>168</v>
      </c>
      <c r="B68" s="572" t="s">
        <v>504</v>
      </c>
      <c r="C68" s="587">
        <f>'Rest Calc'!G24/1000</f>
        <v>0</v>
      </c>
      <c r="D68" s="571"/>
      <c r="F68" s="590"/>
    </row>
    <row r="69" spans="1:6" x14ac:dyDescent="0.25">
      <c r="A69" s="571" t="s">
        <v>3348</v>
      </c>
      <c r="B69" s="572" t="s">
        <v>504</v>
      </c>
      <c r="C69" s="587">
        <f>IF(ALECA_Input!F$141='Rest Calc'!G13,'Rest Calc'!G39/1000,IF(ALECA_Input!F$141='Rest Calc'!G14,'Rest Calc'!G48/1000,IF(ALECA_Input!F$141='Rest Calc'!G15,'Rest Calc'!G73/1000,0)))</f>
        <v>0</v>
      </c>
      <c r="D69" s="571"/>
      <c r="F69" s="590"/>
    </row>
    <row r="70" spans="1:6" x14ac:dyDescent="0.25">
      <c r="A70" s="571" t="s">
        <v>542</v>
      </c>
      <c r="B70" s="572" t="s">
        <v>504</v>
      </c>
      <c r="C70" s="587">
        <f>'Rest Calc'!G95/1000</f>
        <v>0</v>
      </c>
      <c r="D70" s="571"/>
      <c r="F70" s="590"/>
    </row>
    <row r="71" spans="1:6" x14ac:dyDescent="0.25">
      <c r="A71" s="571" t="s">
        <v>191</v>
      </c>
      <c r="B71" s="572" t="s">
        <v>504</v>
      </c>
      <c r="C71" s="587">
        <f>'Rest Calc'!G128/1000</f>
        <v>0</v>
      </c>
      <c r="D71" s="571"/>
      <c r="F71" s="590"/>
    </row>
    <row r="72" spans="1:6" x14ac:dyDescent="0.25">
      <c r="A72" s="571" t="s">
        <v>3349</v>
      </c>
      <c r="B72" s="572" t="s">
        <v>504</v>
      </c>
      <c r="C72" s="587">
        <f>'Rest Calc'!G160/1000</f>
        <v>0</v>
      </c>
      <c r="D72" s="571"/>
      <c r="F72" s="590"/>
    </row>
    <row r="73" spans="1:6" s="597" customFormat="1" x14ac:dyDescent="0.25">
      <c r="A73" s="575" t="s">
        <v>3353</v>
      </c>
      <c r="B73" s="584" t="s">
        <v>504</v>
      </c>
      <c r="C73" s="596">
        <f>SUM(C64:C72)</f>
        <v>0</v>
      </c>
      <c r="D73" s="575"/>
      <c r="E73" s="595"/>
      <c r="F73" s="590"/>
    </row>
    <row r="74" spans="1:6" s="599" customFormat="1" ht="4.5" customHeight="1" x14ac:dyDescent="0.25">
      <c r="A74" s="571"/>
      <c r="B74" s="572"/>
      <c r="C74" s="571"/>
      <c r="D74" s="571"/>
      <c r="E74" s="598"/>
      <c r="F74" s="598"/>
    </row>
    <row r="75" spans="1:6" x14ac:dyDescent="0.25">
      <c r="A75" s="578" t="s">
        <v>3356</v>
      </c>
      <c r="B75" s="579"/>
      <c r="C75" s="586"/>
      <c r="D75" s="580"/>
    </row>
    <row r="76" spans="1:6" x14ac:dyDescent="0.25">
      <c r="A76" s="571" t="str">
        <f>CONCATENATE("Aircraft Main Engine (LTO: ",ALECA_Input!F$13,")")</f>
        <v>Aircraft Main Engine (LTO: ICAO (3000ft))</v>
      </c>
      <c r="B76" s="572" t="s">
        <v>504</v>
      </c>
      <c r="C76" s="587">
        <f>'Aircraft Calc'!K204/1000+'Rest Calc'!H106/1000</f>
        <v>0</v>
      </c>
      <c r="D76" s="571"/>
      <c r="E76" s="593"/>
      <c r="F76" s="590"/>
    </row>
    <row r="77" spans="1:6" x14ac:dyDescent="0.25">
      <c r="A77" s="571" t="s">
        <v>3347</v>
      </c>
      <c r="B77" s="572" t="s">
        <v>504</v>
      </c>
      <c r="C77" s="587"/>
      <c r="D77" s="571"/>
      <c r="F77" s="590"/>
    </row>
    <row r="78" spans="1:6" x14ac:dyDescent="0.25">
      <c r="A78" s="571" t="s">
        <v>3455</v>
      </c>
      <c r="B78" s="572" t="s">
        <v>504</v>
      </c>
      <c r="C78" s="587"/>
      <c r="D78" s="571"/>
      <c r="F78" s="590"/>
    </row>
    <row r="79" spans="1:6" x14ac:dyDescent="0.25">
      <c r="A79" s="571" t="s">
        <v>187</v>
      </c>
      <c r="B79" s="572" t="s">
        <v>504</v>
      </c>
      <c r="C79" s="587">
        <f>'Aircraft Calc'!K235/1000+'Rest Calc'!H119/1000</f>
        <v>0</v>
      </c>
      <c r="D79" s="571"/>
      <c r="F79" s="590"/>
    </row>
    <row r="80" spans="1:6" x14ac:dyDescent="0.25">
      <c r="A80" s="571" t="s">
        <v>168</v>
      </c>
      <c r="B80" s="572" t="s">
        <v>504</v>
      </c>
      <c r="C80" s="587">
        <f>'Rest Calc'!H24/1000</f>
        <v>0</v>
      </c>
      <c r="D80" s="571"/>
      <c r="F80" s="590"/>
    </row>
    <row r="81" spans="1:6" x14ac:dyDescent="0.25">
      <c r="A81" s="571" t="s">
        <v>3348</v>
      </c>
      <c r="B81" s="572" t="s">
        <v>504</v>
      </c>
      <c r="C81" s="587">
        <f>IF(ALECA_Input!F$141='Rest Calc'!G13,'Rest Calc'!H39/1000,IF(ALECA_Input!F$141='Rest Calc'!G14,'Rest Calc'!H48/1000,IF(ALECA_Input!F$141='Rest Calc'!G15,'Rest Calc'!H73/1000,0)))</f>
        <v>0</v>
      </c>
      <c r="D81" s="571"/>
      <c r="F81" s="590"/>
    </row>
    <row r="82" spans="1:6" x14ac:dyDescent="0.25">
      <c r="A82" s="571" t="s">
        <v>542</v>
      </c>
      <c r="B82" s="572" t="s">
        <v>504</v>
      </c>
      <c r="C82" s="587">
        <f>'Rest Calc'!H95/1000</f>
        <v>0</v>
      </c>
      <c r="D82" s="571"/>
      <c r="F82" s="590"/>
    </row>
    <row r="83" spans="1:6" x14ac:dyDescent="0.25">
      <c r="A83" s="571" t="s">
        <v>191</v>
      </c>
      <c r="B83" s="572" t="s">
        <v>504</v>
      </c>
      <c r="C83" s="587"/>
      <c r="D83" s="571"/>
      <c r="F83" s="590"/>
    </row>
    <row r="84" spans="1:6" x14ac:dyDescent="0.25">
      <c r="A84" s="571" t="s">
        <v>3349</v>
      </c>
      <c r="B84" s="572" t="s">
        <v>504</v>
      </c>
      <c r="C84" s="587">
        <f>'Rest Calc'!H160/1000</f>
        <v>0</v>
      </c>
      <c r="D84" s="571"/>
      <c r="E84" s="600"/>
      <c r="F84" s="590"/>
    </row>
    <row r="85" spans="1:6" s="597" customFormat="1" x14ac:dyDescent="0.25">
      <c r="A85" s="575" t="s">
        <v>507</v>
      </c>
      <c r="B85" s="584" t="s">
        <v>504</v>
      </c>
      <c r="C85" s="596">
        <f>SUM(C76:C84)</f>
        <v>0</v>
      </c>
      <c r="D85" s="575"/>
      <c r="E85" s="595"/>
      <c r="F85" s="590"/>
    </row>
    <row r="86" spans="1:6" s="599" customFormat="1" ht="4.5" customHeight="1" x14ac:dyDescent="0.25">
      <c r="A86" s="571"/>
      <c r="B86" s="572"/>
      <c r="C86" s="571"/>
      <c r="D86" s="571"/>
      <c r="E86" s="598"/>
      <c r="F86" s="598"/>
    </row>
    <row r="87" spans="1:6" x14ac:dyDescent="0.25">
      <c r="A87" s="578" t="s">
        <v>3357</v>
      </c>
      <c r="B87" s="579"/>
      <c r="C87" s="586"/>
      <c r="D87" s="580"/>
    </row>
    <row r="88" spans="1:6" x14ac:dyDescent="0.25">
      <c r="A88" s="571" t="str">
        <f>CONCATENATE("Aircraft Main Engine (LTO: ",ALECA_Input!F$13,")")</f>
        <v>Aircraft Main Engine (LTO: ICAO (3000ft))</v>
      </c>
      <c r="B88" s="572" t="s">
        <v>504</v>
      </c>
      <c r="C88" s="587">
        <f>'Aircraft Calc'!N204/1000+'Rest Calc'!K106/1000</f>
        <v>0</v>
      </c>
      <c r="D88" s="571"/>
    </row>
    <row r="89" spans="1:6" x14ac:dyDescent="0.25">
      <c r="A89" s="571" t="s">
        <v>3347</v>
      </c>
      <c r="B89" s="572" t="s">
        <v>504</v>
      </c>
      <c r="C89" s="587"/>
      <c r="D89" s="571"/>
    </row>
    <row r="90" spans="1:6" x14ac:dyDescent="0.25">
      <c r="A90" s="571" t="s">
        <v>3455</v>
      </c>
      <c r="B90" s="572" t="s">
        <v>504</v>
      </c>
      <c r="C90" s="587"/>
      <c r="D90" s="571"/>
    </row>
    <row r="91" spans="1:6" x14ac:dyDescent="0.25">
      <c r="A91" s="571" t="s">
        <v>187</v>
      </c>
      <c r="B91" s="572" t="s">
        <v>504</v>
      </c>
      <c r="C91" s="587">
        <f>'Aircraft Calc'!N235/1000+'Rest Calc'!K119/1000</f>
        <v>0</v>
      </c>
      <c r="D91" s="571"/>
    </row>
    <row r="92" spans="1:6" x14ac:dyDescent="0.25">
      <c r="A92" s="571" t="s">
        <v>168</v>
      </c>
      <c r="B92" s="572" t="s">
        <v>504</v>
      </c>
      <c r="C92" s="587">
        <f>'Rest Calc'!K24/1000</f>
        <v>0</v>
      </c>
      <c r="D92" s="571"/>
    </row>
    <row r="93" spans="1:6" x14ac:dyDescent="0.25">
      <c r="A93" s="571" t="s">
        <v>3348</v>
      </c>
      <c r="B93" s="572" t="s">
        <v>504</v>
      </c>
      <c r="C93" s="587">
        <f>IF(ALECA_Input!F$141='Rest Calc'!G13,'Rest Calc'!K39/1000,IF(ALECA_Input!F$141='Rest Calc'!G14,'Rest Calc'!K48/1000,IF(ALECA_Input!F$141='Rest Calc'!G15,'Rest Calc'!K73/1000,0)))</f>
        <v>0</v>
      </c>
      <c r="D93" s="571"/>
    </row>
    <row r="94" spans="1:6" x14ac:dyDescent="0.25">
      <c r="A94" s="571" t="s">
        <v>542</v>
      </c>
      <c r="B94" s="572" t="s">
        <v>504</v>
      </c>
      <c r="C94" s="587">
        <f>'Rest Calc'!K95/1000</f>
        <v>0</v>
      </c>
      <c r="D94" s="571"/>
    </row>
    <row r="95" spans="1:6" x14ac:dyDescent="0.25">
      <c r="A95" s="571" t="s">
        <v>191</v>
      </c>
      <c r="B95" s="572" t="s">
        <v>504</v>
      </c>
      <c r="C95" s="587"/>
      <c r="D95" s="571"/>
    </row>
    <row r="96" spans="1:6" x14ac:dyDescent="0.25">
      <c r="A96" s="571" t="s">
        <v>3349</v>
      </c>
      <c r="B96" s="572" t="s">
        <v>504</v>
      </c>
      <c r="C96" s="587">
        <f>'Rest Calc'!K160/1000</f>
        <v>0</v>
      </c>
      <c r="D96" s="571"/>
    </row>
    <row r="97" spans="1:6" s="597" customFormat="1" x14ac:dyDescent="0.25">
      <c r="A97" s="575" t="s">
        <v>508</v>
      </c>
      <c r="B97" s="584" t="s">
        <v>504</v>
      </c>
      <c r="C97" s="596">
        <f>SUM(C88:C96)</f>
        <v>0</v>
      </c>
      <c r="D97" s="575"/>
      <c r="E97" s="573"/>
      <c r="F97" s="573"/>
    </row>
    <row r="98" spans="1:6" s="599" customFormat="1" ht="4.5" customHeight="1" x14ac:dyDescent="0.25">
      <c r="A98" s="571"/>
      <c r="B98" s="572"/>
      <c r="C98" s="571"/>
      <c r="D98" s="571"/>
      <c r="E98" s="598"/>
      <c r="F98" s="598"/>
    </row>
    <row r="99" spans="1:6" x14ac:dyDescent="0.25">
      <c r="A99" s="578" t="s">
        <v>3358</v>
      </c>
      <c r="B99" s="579"/>
      <c r="C99" s="586"/>
      <c r="D99" s="580"/>
    </row>
    <row r="100" spans="1:6" x14ac:dyDescent="0.25">
      <c r="A100" s="571" t="str">
        <f>CONCATENATE("Aircraft Main Engine (LTO: ",ALECA_Input!F$13,")")</f>
        <v>Aircraft Main Engine (LTO: ICAO (3000ft))</v>
      </c>
      <c r="B100" s="572" t="s">
        <v>504</v>
      </c>
      <c r="C100" s="587">
        <f>'Aircraft Calc'!L204/1000+'Rest Calc'!I106/1000</f>
        <v>0</v>
      </c>
      <c r="D100" s="571"/>
      <c r="E100" s="593"/>
      <c r="F100" s="590"/>
    </row>
    <row r="101" spans="1:6" x14ac:dyDescent="0.25">
      <c r="A101" s="571" t="s">
        <v>3347</v>
      </c>
      <c r="B101" s="572" t="s">
        <v>504</v>
      </c>
      <c r="C101" s="587"/>
      <c r="D101" s="571"/>
      <c r="F101" s="590"/>
    </row>
    <row r="102" spans="1:6" x14ac:dyDescent="0.25">
      <c r="A102" s="571" t="s">
        <v>3455</v>
      </c>
      <c r="B102" s="572" t="s">
        <v>504</v>
      </c>
      <c r="C102" s="587">
        <f>'Rest Calc'!I84/1000</f>
        <v>0</v>
      </c>
      <c r="D102" s="571"/>
      <c r="F102" s="590"/>
    </row>
    <row r="103" spans="1:6" x14ac:dyDescent="0.25">
      <c r="A103" s="571" t="s">
        <v>187</v>
      </c>
      <c r="B103" s="572" t="s">
        <v>504</v>
      </c>
      <c r="C103" s="587">
        <f>'Aircraft Calc'!L235/1000+'Rest Calc'!I119/1000</f>
        <v>0</v>
      </c>
      <c r="D103" s="571"/>
      <c r="F103" s="590"/>
    </row>
    <row r="104" spans="1:6" x14ac:dyDescent="0.25">
      <c r="A104" s="571" t="s">
        <v>168</v>
      </c>
      <c r="B104" s="572" t="s">
        <v>504</v>
      </c>
      <c r="C104" s="587">
        <f>'Rest Calc'!I24/1000</f>
        <v>0</v>
      </c>
      <c r="D104" s="571"/>
      <c r="F104" s="590"/>
    </row>
    <row r="105" spans="1:6" x14ac:dyDescent="0.25">
      <c r="A105" s="571" t="s">
        <v>3348</v>
      </c>
      <c r="B105" s="572" t="s">
        <v>504</v>
      </c>
      <c r="C105" s="587">
        <f>IF(ALECA_Input!F$141='Rest Calc'!G13,'Rest Calc'!I39/1000,IF(ALECA_Input!F$141='Rest Calc'!G14,'Rest Calc'!I48/1000,IF(ALECA_Input!F$141='Rest Calc'!G15,'Rest Calc'!I73/1000,0)))</f>
        <v>0</v>
      </c>
      <c r="D105" s="571"/>
      <c r="E105" s="600"/>
      <c r="F105" s="590"/>
    </row>
    <row r="106" spans="1:6" x14ac:dyDescent="0.25">
      <c r="A106" s="571" t="s">
        <v>542</v>
      </c>
      <c r="B106" s="572" t="s">
        <v>504</v>
      </c>
      <c r="C106" s="587">
        <f>'Rest Calc'!I95/1000</f>
        <v>0</v>
      </c>
      <c r="D106" s="571"/>
      <c r="F106" s="590"/>
    </row>
    <row r="107" spans="1:6" x14ac:dyDescent="0.25">
      <c r="A107" s="571" t="s">
        <v>191</v>
      </c>
      <c r="B107" s="572" t="s">
        <v>504</v>
      </c>
      <c r="C107" s="587"/>
      <c r="D107" s="571"/>
      <c r="F107" s="590"/>
    </row>
    <row r="108" spans="1:6" x14ac:dyDescent="0.25">
      <c r="A108" s="571" t="s">
        <v>3349</v>
      </c>
      <c r="B108" s="572" t="s">
        <v>504</v>
      </c>
      <c r="C108" s="587">
        <f>'Rest Calc'!I160/1000</f>
        <v>0</v>
      </c>
      <c r="D108" s="571"/>
      <c r="F108" s="590"/>
    </row>
    <row r="109" spans="1:6" s="597" customFormat="1" x14ac:dyDescent="0.25">
      <c r="A109" s="575" t="s">
        <v>3352</v>
      </c>
      <c r="B109" s="584" t="s">
        <v>504</v>
      </c>
      <c r="C109" s="596">
        <f>SUM(C100:C108)</f>
        <v>0</v>
      </c>
      <c r="D109" s="575"/>
      <c r="E109" s="595"/>
      <c r="F109" s="590"/>
    </row>
    <row r="110" spans="1:6" s="599" customFormat="1" ht="4.5" customHeight="1" x14ac:dyDescent="0.25">
      <c r="A110" s="571"/>
      <c r="B110" s="572"/>
      <c r="C110" s="571"/>
      <c r="D110" s="571"/>
      <c r="E110" s="598"/>
      <c r="F110" s="598"/>
    </row>
    <row r="111" spans="1:6" x14ac:dyDescent="0.25">
      <c r="A111" s="578" t="s">
        <v>3359</v>
      </c>
      <c r="B111" s="579"/>
      <c r="C111" s="586"/>
      <c r="D111" s="580"/>
    </row>
    <row r="112" spans="1:6" x14ac:dyDescent="0.25">
      <c r="A112" s="571" t="str">
        <f>CONCATENATE("Aircraft Main Engine (LTO: ",ALECA_Input!F$13,")")</f>
        <v>Aircraft Main Engine (LTO: ICAO (3000ft))</v>
      </c>
      <c r="B112" s="572" t="s">
        <v>574</v>
      </c>
      <c r="C112" s="601">
        <f>'Aircraft Calc'!M204+'Rest Calc'!J106</f>
        <v>0</v>
      </c>
      <c r="D112" s="571"/>
      <c r="E112" s="602"/>
      <c r="F112" s="590"/>
    </row>
    <row r="113" spans="1:6" x14ac:dyDescent="0.25">
      <c r="A113" s="571" t="s">
        <v>3347</v>
      </c>
      <c r="B113" s="572" t="s">
        <v>574</v>
      </c>
      <c r="C113" s="601"/>
      <c r="D113" s="571"/>
      <c r="F113" s="590"/>
    </row>
    <row r="114" spans="1:6" x14ac:dyDescent="0.25">
      <c r="A114" s="571" t="s">
        <v>3455</v>
      </c>
      <c r="B114" s="572" t="s">
        <v>574</v>
      </c>
      <c r="C114" s="601"/>
      <c r="D114" s="571"/>
      <c r="F114" s="590"/>
    </row>
    <row r="115" spans="1:6" x14ac:dyDescent="0.25">
      <c r="A115" s="571" t="s">
        <v>187</v>
      </c>
      <c r="B115" s="572" t="s">
        <v>574</v>
      </c>
      <c r="C115" s="601">
        <f>'Aircraft Calc'!M235+'Rest Calc'!J119</f>
        <v>0</v>
      </c>
      <c r="D115" s="571"/>
      <c r="E115" s="602"/>
      <c r="F115" s="590"/>
    </row>
    <row r="116" spans="1:6" x14ac:dyDescent="0.25">
      <c r="A116" s="571" t="s">
        <v>168</v>
      </c>
      <c r="B116" s="572" t="s">
        <v>574</v>
      </c>
      <c r="C116" s="601">
        <f>'Rest Calc'!J24</f>
        <v>0</v>
      </c>
      <c r="D116" s="571"/>
      <c r="E116" s="602"/>
      <c r="F116" s="590"/>
    </row>
    <row r="117" spans="1:6" x14ac:dyDescent="0.25">
      <c r="A117" s="571" t="s">
        <v>3348</v>
      </c>
      <c r="B117" s="572" t="s">
        <v>574</v>
      </c>
      <c r="C117" s="601">
        <f>IF(ALECA_Input!F$141='Rest Calc'!G13,'Rest Calc'!J39,IF(ALECA_Input!F$141='Rest Calc'!G14,'Rest Calc'!J48,IF(ALECA_Input!F$141='Rest Calc'!G15,'Rest Calc'!J73,0)))</f>
        <v>0</v>
      </c>
      <c r="D117" s="571"/>
      <c r="E117" s="602"/>
      <c r="F117" s="590"/>
    </row>
    <row r="118" spans="1:6" x14ac:dyDescent="0.25">
      <c r="A118" s="571" t="s">
        <v>542</v>
      </c>
      <c r="B118" s="572" t="s">
        <v>574</v>
      </c>
      <c r="C118" s="601">
        <f>'Rest Calc'!J95</f>
        <v>0</v>
      </c>
      <c r="D118" s="571"/>
      <c r="E118" s="602"/>
      <c r="F118" s="590"/>
    </row>
    <row r="119" spans="1:6" x14ac:dyDescent="0.25">
      <c r="A119" s="571" t="s">
        <v>191</v>
      </c>
      <c r="B119" s="572" t="s">
        <v>574</v>
      </c>
      <c r="C119" s="601"/>
      <c r="D119" s="571"/>
      <c r="F119" s="590"/>
    </row>
    <row r="120" spans="1:6" x14ac:dyDescent="0.25">
      <c r="A120" s="571" t="s">
        <v>3349</v>
      </c>
      <c r="B120" s="572" t="s">
        <v>574</v>
      </c>
      <c r="C120" s="601">
        <f>'Rest Calc'!J160</f>
        <v>0</v>
      </c>
      <c r="D120" s="571"/>
      <c r="E120" s="602"/>
      <c r="F120" s="590"/>
    </row>
    <row r="121" spans="1:6" s="597" customFormat="1" x14ac:dyDescent="0.25">
      <c r="A121" s="575" t="s">
        <v>3351</v>
      </c>
      <c r="B121" s="584" t="s">
        <v>574</v>
      </c>
      <c r="C121" s="603">
        <f>SUM(C112:C120)</f>
        <v>0</v>
      </c>
      <c r="D121" s="575"/>
      <c r="E121" s="604"/>
      <c r="F121" s="590"/>
    </row>
    <row r="122" spans="1:6" s="599" customFormat="1" ht="4.5" customHeight="1" x14ac:dyDescent="0.25">
      <c r="A122" s="571"/>
      <c r="B122" s="572"/>
      <c r="C122" s="571"/>
      <c r="D122" s="571"/>
      <c r="E122" s="598"/>
      <c r="F122" s="598"/>
    </row>
    <row r="123" spans="1:6" ht="15.6" x14ac:dyDescent="0.25">
      <c r="A123" s="578" t="s">
        <v>3360</v>
      </c>
      <c r="B123" s="579"/>
      <c r="C123" s="586"/>
      <c r="D123" s="580"/>
    </row>
    <row r="124" spans="1:6" x14ac:dyDescent="0.25">
      <c r="A124" s="571" t="str">
        <f>CONCATENATE("Aircraft Main Engine (LTO: ",ALECA_Input!$F$13,")")</f>
        <v>Aircraft Main Engine (LTO: ICAO (3000ft))</v>
      </c>
      <c r="B124" s="572" t="s">
        <v>504</v>
      </c>
      <c r="C124" s="581">
        <f>'Aircraft Calc'!O204/1000+'Rest Calc'!L106/1000</f>
        <v>0</v>
      </c>
      <c r="D124" s="571"/>
      <c r="E124" s="593"/>
      <c r="F124" s="590"/>
    </row>
    <row r="125" spans="1:6" x14ac:dyDescent="0.25">
      <c r="A125" s="571" t="s">
        <v>3347</v>
      </c>
      <c r="B125" s="572" t="s">
        <v>504</v>
      </c>
      <c r="C125" s="581"/>
      <c r="D125" s="571"/>
      <c r="E125" s="593"/>
      <c r="F125" s="590"/>
    </row>
    <row r="126" spans="1:6" x14ac:dyDescent="0.25">
      <c r="A126" s="571" t="s">
        <v>3455</v>
      </c>
      <c r="B126" s="572" t="s">
        <v>504</v>
      </c>
      <c r="C126" s="581"/>
      <c r="D126" s="571"/>
      <c r="E126" s="593"/>
      <c r="F126" s="590"/>
    </row>
    <row r="127" spans="1:6" x14ac:dyDescent="0.25">
      <c r="A127" s="571" t="s">
        <v>187</v>
      </c>
      <c r="B127" s="572" t="s">
        <v>504</v>
      </c>
      <c r="C127" s="581">
        <f>'Aircraft Calc'!O235/1000+'Rest Calc'!L119/1000</f>
        <v>0</v>
      </c>
      <c r="D127" s="571"/>
      <c r="E127" s="593"/>
      <c r="F127" s="590"/>
    </row>
    <row r="128" spans="1:6" x14ac:dyDescent="0.25">
      <c r="A128" s="571" t="s">
        <v>168</v>
      </c>
      <c r="B128" s="572" t="s">
        <v>504</v>
      </c>
      <c r="C128" s="581">
        <f>'Rest Calc'!L24/1000</f>
        <v>0</v>
      </c>
      <c r="D128" s="571"/>
      <c r="E128" s="593"/>
      <c r="F128" s="590"/>
    </row>
    <row r="129" spans="1:6" x14ac:dyDescent="0.25">
      <c r="A129" s="571" t="s">
        <v>3348</v>
      </c>
      <c r="B129" s="572" t="s">
        <v>504</v>
      </c>
      <c r="C129" s="581">
        <f>IF(ALECA_Input!F$141='Rest Calc'!G13,'Rest Calc'!L39/1000,IF(ALECA_Input!F$141='Rest Calc'!G14,'Rest Calc'!L48/1000,IF(ALECA_Input!F$141='Rest Calc'!G15,'Rest Calc'!L73/1000,0)))</f>
        <v>0</v>
      </c>
      <c r="D129" s="571"/>
      <c r="E129" s="593"/>
      <c r="F129" s="590"/>
    </row>
    <row r="130" spans="1:6" x14ac:dyDescent="0.25">
      <c r="A130" s="571" t="s">
        <v>542</v>
      </c>
      <c r="B130" s="572" t="s">
        <v>504</v>
      </c>
      <c r="C130" s="581">
        <f>'Rest Calc'!L95/1000</f>
        <v>0</v>
      </c>
      <c r="D130" s="571"/>
      <c r="E130" s="593"/>
      <c r="F130" s="590"/>
    </row>
    <row r="131" spans="1:6" x14ac:dyDescent="0.25">
      <c r="A131" s="571" t="s">
        <v>191</v>
      </c>
      <c r="B131" s="572" t="s">
        <v>504</v>
      </c>
      <c r="C131" s="581"/>
      <c r="D131" s="571"/>
      <c r="E131" s="593"/>
      <c r="F131" s="590"/>
    </row>
    <row r="132" spans="1:6" x14ac:dyDescent="0.25">
      <c r="A132" s="571" t="s">
        <v>3349</v>
      </c>
      <c r="B132" s="572" t="s">
        <v>504</v>
      </c>
      <c r="C132" s="581">
        <f>'Rest Calc'!L160/1000</f>
        <v>0</v>
      </c>
      <c r="D132" s="571"/>
      <c r="E132" s="593"/>
      <c r="F132" s="590"/>
    </row>
    <row r="133" spans="1:6" s="597" customFormat="1" ht="15.6" x14ac:dyDescent="0.35">
      <c r="A133" s="575" t="s">
        <v>3361</v>
      </c>
      <c r="B133" s="584" t="s">
        <v>504</v>
      </c>
      <c r="C133" s="585">
        <f>SUM(C124:C132)</f>
        <v>0</v>
      </c>
      <c r="D133" s="575"/>
      <c r="E133" s="605"/>
      <c r="F133" s="590"/>
    </row>
    <row r="134" spans="1:6" ht="6.75" customHeight="1" x14ac:dyDescent="0.25">
      <c r="A134" s="571"/>
      <c r="B134" s="572"/>
      <c r="C134" s="571"/>
      <c r="D134" s="571"/>
    </row>
    <row r="135" spans="1:6" x14ac:dyDescent="0.25">
      <c r="A135" s="578" t="s">
        <v>3530</v>
      </c>
      <c r="B135" s="579"/>
      <c r="C135" s="586"/>
      <c r="D135" s="580"/>
    </row>
    <row r="136" spans="1:6" x14ac:dyDescent="0.25">
      <c r="A136" s="571" t="s">
        <v>3531</v>
      </c>
      <c r="B136" s="572" t="s">
        <v>2940</v>
      </c>
      <c r="C136" s="606">
        <f>ALECA_Input!C107</f>
        <v>0</v>
      </c>
      <c r="D136" s="571"/>
    </row>
    <row r="137" spans="1:6" x14ac:dyDescent="0.25">
      <c r="A137" s="607" t="s">
        <v>3547</v>
      </c>
      <c r="B137" s="608"/>
      <c r="C137" s="609"/>
      <c r="D137" s="610"/>
    </row>
    <row r="138" spans="1:6" x14ac:dyDescent="0.25">
      <c r="A138" s="571" t="s">
        <v>3532</v>
      </c>
      <c r="B138" s="572" t="s">
        <v>504</v>
      </c>
      <c r="C138" s="611">
        <f>'Aircraft Calc'!I205+'Aircraft Calc'!I236+'Rest Calc'!F107+'Rest Calc'!F120+'Rest Calc'!F161</f>
        <v>0</v>
      </c>
      <c r="D138" s="571"/>
    </row>
    <row r="139" spans="1:6" x14ac:dyDescent="0.25">
      <c r="A139" s="571" t="s">
        <v>3533</v>
      </c>
      <c r="B139" s="572" t="s">
        <v>504</v>
      </c>
      <c r="C139" s="611">
        <f>'Aircraft Calc'!J205+'Aircraft Calc'!J236+'Aircraft Calc'!P205+'Rest Calc'!G107+'Rest Calc'!G120+'Rest Calc'!G161</f>
        <v>0</v>
      </c>
      <c r="D139" s="571"/>
    </row>
    <row r="140" spans="1:6" x14ac:dyDescent="0.25">
      <c r="A140" s="571" t="s">
        <v>3534</v>
      </c>
      <c r="B140" s="572" t="s">
        <v>504</v>
      </c>
      <c r="C140" s="611">
        <f>'Aircraft Calc'!K205+'Aircraft Calc'!K236+'Rest Calc'!H107+'Rest Calc'!H120+'Rest Calc'!H161</f>
        <v>0</v>
      </c>
      <c r="D140" s="571"/>
    </row>
    <row r="141" spans="1:6" x14ac:dyDescent="0.25">
      <c r="A141" s="571" t="s">
        <v>3540</v>
      </c>
      <c r="B141" s="572" t="s">
        <v>504</v>
      </c>
      <c r="C141" s="611">
        <f>'Aircraft Calc'!N205+'Aircraft Calc'!N236+'Rest Calc'!K107+'Rest Calc'!K120+'Rest Calc'!K161</f>
        <v>0</v>
      </c>
      <c r="D141" s="571"/>
    </row>
    <row r="142" spans="1:6" x14ac:dyDescent="0.25">
      <c r="A142" s="571" t="s">
        <v>3536</v>
      </c>
      <c r="B142" s="572" t="s">
        <v>504</v>
      </c>
      <c r="C142" s="611">
        <f>'Aircraft Calc'!L205+'Aircraft Calc'!L236+'Rest Calc'!I107+'Rest Calc'!I120+'Rest Calc'!I161</f>
        <v>0</v>
      </c>
      <c r="D142" s="571"/>
    </row>
    <row r="143" spans="1:6" x14ac:dyDescent="0.25">
      <c r="A143" s="571" t="s">
        <v>3535</v>
      </c>
      <c r="B143" s="572" t="s">
        <v>574</v>
      </c>
      <c r="C143" s="601">
        <f>'Aircraft Calc'!M205+'Aircraft Calc'!M236+'Rest Calc'!J107+'Rest Calc'!J120+'Rest Calc'!J161</f>
        <v>0</v>
      </c>
      <c r="D143" s="571"/>
    </row>
    <row r="144" spans="1:6" ht="15.6" x14ac:dyDescent="0.35">
      <c r="A144" s="571" t="s">
        <v>3537</v>
      </c>
      <c r="B144" s="572" t="s">
        <v>504</v>
      </c>
      <c r="C144" s="611">
        <f>'Aircraft Calc'!O205+'Aircraft Calc'!O236+'Rest Calc'!L107+'Rest Calc'!L120+'Rest Calc'!L161</f>
        <v>0</v>
      </c>
      <c r="D144" s="571"/>
    </row>
    <row r="145" spans="1:4" x14ac:dyDescent="0.25">
      <c r="A145" s="607" t="s">
        <v>3548</v>
      </c>
      <c r="B145" s="608"/>
      <c r="C145" s="609"/>
      <c r="D145" s="610"/>
    </row>
    <row r="146" spans="1:4" ht="15.6" x14ac:dyDescent="0.35">
      <c r="A146" s="571" t="s">
        <v>3537</v>
      </c>
      <c r="B146" s="572" t="s">
        <v>504</v>
      </c>
      <c r="C146" s="612">
        <f>'Rest Calc'!L130/1000</f>
        <v>0</v>
      </c>
      <c r="D146" s="571"/>
    </row>
  </sheetData>
  <sheetProtection algorithmName="SHA-512" hashValue="QO6cEEc9juC5vnWCS6ioK0T/Mka7aJaRkcOUKk9flRn+yzpGhd218wPGjnctuAN3IFOrW37961vBQLS9FzpR+g==" saltValue="2lGqEC4Zq4lgWNAedSbosQ==" spinCount="100000" sheet="1" objects="1" scenarios="1"/>
  <mergeCells count="1">
    <mergeCell ref="A1:D1"/>
  </mergeCells>
  <pageMargins left="0.70866141732283472" right="0.70866141732283472" top="0.78740157480314965" bottom="0.78740157480314965" header="0.31496062992125984" footer="0.31496062992125984"/>
  <pageSetup paperSize="9" scale="51" orientation="portrait" r:id="rId1"/>
  <headerFooter>
    <oddHeader>&amp;LFlughafen Zürich AG/Environment</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0"/>
  <sheetViews>
    <sheetView tabSelected="1" workbookViewId="0">
      <selection activeCell="A8" sqref="A8:M8"/>
    </sheetView>
  </sheetViews>
  <sheetFormatPr baseColWidth="10" defaultRowHeight="13.2" x14ac:dyDescent="0.25"/>
  <cols>
    <col min="1" max="1" width="11.44140625" customWidth="1"/>
  </cols>
  <sheetData>
    <row r="1" spans="1:13" ht="15.75" customHeight="1" x14ac:dyDescent="0.25">
      <c r="A1" s="655" t="s">
        <v>3627</v>
      </c>
      <c r="B1" s="656"/>
      <c r="C1" s="656"/>
      <c r="D1" s="656"/>
      <c r="E1" s="656"/>
      <c r="F1" s="656"/>
      <c r="G1" s="656"/>
      <c r="H1" s="656"/>
      <c r="I1" s="656"/>
      <c r="J1" s="656"/>
      <c r="K1" s="656"/>
      <c r="L1" s="656"/>
      <c r="M1" s="657"/>
    </row>
    <row r="2" spans="1:13" ht="66.75" customHeight="1" x14ac:dyDescent="0.25">
      <c r="A2" s="643" t="s">
        <v>3635</v>
      </c>
      <c r="B2" s="644"/>
      <c r="C2" s="644"/>
      <c r="D2" s="644"/>
      <c r="E2" s="644"/>
      <c r="F2" s="644"/>
      <c r="G2" s="644"/>
      <c r="H2" s="644"/>
      <c r="I2" s="644"/>
      <c r="J2" s="644"/>
      <c r="K2" s="644"/>
      <c r="L2" s="644"/>
      <c r="M2" s="645"/>
    </row>
    <row r="3" spans="1:13" ht="16.5" customHeight="1" x14ac:dyDescent="0.25">
      <c r="A3" s="658" t="s">
        <v>3611</v>
      </c>
      <c r="B3" s="659"/>
      <c r="C3" s="659"/>
      <c r="D3" s="659"/>
      <c r="E3" s="659"/>
      <c r="F3" s="659"/>
      <c r="G3" s="659"/>
      <c r="H3" s="659"/>
      <c r="I3" s="659"/>
      <c r="J3" s="659"/>
      <c r="K3" s="659"/>
      <c r="L3" s="659"/>
      <c r="M3" s="660"/>
    </row>
    <row r="4" spans="1:13" ht="13.8" x14ac:dyDescent="0.25">
      <c r="A4" s="661" t="s">
        <v>3612</v>
      </c>
      <c r="B4" s="662"/>
      <c r="C4" s="662"/>
      <c r="D4" s="662"/>
      <c r="E4" s="662"/>
      <c r="F4" s="662"/>
      <c r="G4" s="662"/>
      <c r="H4" s="662"/>
      <c r="I4" s="662"/>
      <c r="J4" s="662"/>
      <c r="K4" s="662"/>
      <c r="L4" s="662"/>
      <c r="M4" s="663"/>
    </row>
    <row r="5" spans="1:13" ht="30" customHeight="1" x14ac:dyDescent="0.25">
      <c r="A5" s="643" t="s">
        <v>3636</v>
      </c>
      <c r="B5" s="644"/>
      <c r="C5" s="644"/>
      <c r="D5" s="644"/>
      <c r="E5" s="644"/>
      <c r="F5" s="644"/>
      <c r="G5" s="644"/>
      <c r="H5" s="644"/>
      <c r="I5" s="644"/>
      <c r="J5" s="644"/>
      <c r="K5" s="644"/>
      <c r="L5" s="644"/>
      <c r="M5" s="645"/>
    </row>
    <row r="6" spans="1:13" ht="48.75" customHeight="1" x14ac:dyDescent="0.25">
      <c r="A6" s="643" t="s">
        <v>3613</v>
      </c>
      <c r="B6" s="644"/>
      <c r="C6" s="644"/>
      <c r="D6" s="644"/>
      <c r="E6" s="644"/>
      <c r="F6" s="644"/>
      <c r="G6" s="644"/>
      <c r="H6" s="644"/>
      <c r="I6" s="644"/>
      <c r="J6" s="644"/>
      <c r="K6" s="644"/>
      <c r="L6" s="644"/>
      <c r="M6" s="645"/>
    </row>
    <row r="7" spans="1:13" ht="13.8" x14ac:dyDescent="0.25">
      <c r="A7" s="646" t="s">
        <v>3614</v>
      </c>
      <c r="B7" s="647"/>
      <c r="C7" s="647"/>
      <c r="D7" s="647"/>
      <c r="E7" s="647"/>
      <c r="F7" s="647"/>
      <c r="G7" s="647"/>
      <c r="H7" s="647"/>
      <c r="I7" s="647"/>
      <c r="J7" s="647"/>
      <c r="K7" s="647"/>
      <c r="L7" s="647"/>
      <c r="M7" s="648"/>
    </row>
    <row r="8" spans="1:13" ht="38.25" customHeight="1" x14ac:dyDescent="0.25">
      <c r="A8" s="643" t="s">
        <v>3629</v>
      </c>
      <c r="B8" s="644"/>
      <c r="C8" s="644"/>
      <c r="D8" s="644"/>
      <c r="E8" s="644"/>
      <c r="F8" s="644"/>
      <c r="G8" s="644"/>
      <c r="H8" s="644"/>
      <c r="I8" s="644"/>
      <c r="J8" s="644"/>
      <c r="K8" s="644"/>
      <c r="L8" s="644"/>
      <c r="M8" s="645"/>
    </row>
    <row r="9" spans="1:13" ht="13.8" x14ac:dyDescent="0.25">
      <c r="A9" s="646" t="s">
        <v>3615</v>
      </c>
      <c r="B9" s="647"/>
      <c r="C9" s="647"/>
      <c r="D9" s="647"/>
      <c r="E9" s="647"/>
      <c r="F9" s="647"/>
      <c r="G9" s="647"/>
      <c r="H9" s="647"/>
      <c r="I9" s="647"/>
      <c r="J9" s="647"/>
      <c r="K9" s="647"/>
      <c r="L9" s="647"/>
      <c r="M9" s="648"/>
    </row>
    <row r="10" spans="1:13" ht="13.8" x14ac:dyDescent="0.25">
      <c r="A10" s="643" t="s">
        <v>3616</v>
      </c>
      <c r="B10" s="644"/>
      <c r="C10" s="644"/>
      <c r="D10" s="644"/>
      <c r="E10" s="644"/>
      <c r="F10" s="644"/>
      <c r="G10" s="644"/>
      <c r="H10" s="644"/>
      <c r="I10" s="644"/>
      <c r="J10" s="644"/>
      <c r="K10" s="644"/>
      <c r="L10" s="644"/>
      <c r="M10" s="645"/>
    </row>
    <row r="11" spans="1:13" ht="13.8" x14ac:dyDescent="0.25">
      <c r="A11" s="643" t="s">
        <v>3617</v>
      </c>
      <c r="B11" s="644"/>
      <c r="C11" s="644"/>
      <c r="D11" s="644"/>
      <c r="E11" s="644"/>
      <c r="F11" s="644"/>
      <c r="G11" s="644"/>
      <c r="H11" s="644"/>
      <c r="I11" s="644"/>
      <c r="J11" s="644"/>
      <c r="K11" s="644"/>
      <c r="L11" s="644"/>
      <c r="M11" s="645"/>
    </row>
    <row r="12" spans="1:13" ht="13.8" x14ac:dyDescent="0.25">
      <c r="A12" s="643" t="s">
        <v>3618</v>
      </c>
      <c r="B12" s="644"/>
      <c r="C12" s="644"/>
      <c r="D12" s="644"/>
      <c r="E12" s="644"/>
      <c r="F12" s="644"/>
      <c r="G12" s="644"/>
      <c r="H12" s="644"/>
      <c r="I12" s="644"/>
      <c r="J12" s="644"/>
      <c r="K12" s="644"/>
      <c r="L12" s="644"/>
      <c r="M12" s="645"/>
    </row>
    <row r="13" spans="1:13" ht="13.8" x14ac:dyDescent="0.25">
      <c r="A13" s="643" t="s">
        <v>3619</v>
      </c>
      <c r="B13" s="644"/>
      <c r="C13" s="644"/>
      <c r="D13" s="644"/>
      <c r="E13" s="644"/>
      <c r="F13" s="644"/>
      <c r="G13" s="644"/>
      <c r="H13" s="644"/>
      <c r="I13" s="644"/>
      <c r="J13" s="644"/>
      <c r="K13" s="644"/>
      <c r="L13" s="644"/>
      <c r="M13" s="645"/>
    </row>
    <row r="14" spans="1:13" ht="21.75" customHeight="1" x14ac:dyDescent="0.25">
      <c r="A14" s="643" t="s">
        <v>3628</v>
      </c>
      <c r="B14" s="644"/>
      <c r="C14" s="644"/>
      <c r="D14" s="644"/>
      <c r="E14" s="644"/>
      <c r="F14" s="644"/>
      <c r="G14" s="644"/>
      <c r="H14" s="644"/>
      <c r="I14" s="644"/>
      <c r="J14" s="644"/>
      <c r="K14" s="644"/>
      <c r="L14" s="644"/>
      <c r="M14" s="645"/>
    </row>
    <row r="15" spans="1:13" ht="13.8" x14ac:dyDescent="0.25">
      <c r="A15" s="646" t="s">
        <v>3620</v>
      </c>
      <c r="B15" s="647"/>
      <c r="C15" s="647"/>
      <c r="D15" s="647"/>
      <c r="E15" s="647"/>
      <c r="F15" s="647"/>
      <c r="G15" s="647"/>
      <c r="H15" s="647"/>
      <c r="I15" s="647"/>
      <c r="J15" s="647"/>
      <c r="K15" s="647"/>
      <c r="L15" s="647"/>
      <c r="M15" s="648"/>
    </row>
    <row r="16" spans="1:13" ht="28.5" customHeight="1" x14ac:dyDescent="0.25">
      <c r="A16" s="643" t="s">
        <v>3630</v>
      </c>
      <c r="B16" s="644"/>
      <c r="C16" s="644"/>
      <c r="D16" s="644"/>
      <c r="E16" s="644"/>
      <c r="F16" s="644"/>
      <c r="G16" s="644"/>
      <c r="H16" s="644"/>
      <c r="I16" s="644"/>
      <c r="J16" s="644"/>
      <c r="K16" s="644"/>
      <c r="L16" s="644"/>
      <c r="M16" s="645"/>
    </row>
    <row r="17" spans="1:13" ht="13.8" x14ac:dyDescent="0.25">
      <c r="A17" s="643" t="s">
        <v>3631</v>
      </c>
      <c r="B17" s="644"/>
      <c r="C17" s="644"/>
      <c r="D17" s="644"/>
      <c r="E17" s="644"/>
      <c r="F17" s="644"/>
      <c r="G17" s="644"/>
      <c r="H17" s="644"/>
      <c r="I17" s="644"/>
      <c r="J17" s="644"/>
      <c r="K17" s="644"/>
      <c r="L17" s="644"/>
      <c r="M17" s="645"/>
    </row>
    <row r="18" spans="1:13" ht="21.75" customHeight="1" x14ac:dyDescent="0.25">
      <c r="A18" s="643" t="s">
        <v>3632</v>
      </c>
      <c r="B18" s="644"/>
      <c r="C18" s="644"/>
      <c r="D18" s="644"/>
      <c r="E18" s="644"/>
      <c r="F18" s="644"/>
      <c r="G18" s="644"/>
      <c r="H18" s="644"/>
      <c r="I18" s="644"/>
      <c r="J18" s="644"/>
      <c r="K18" s="644"/>
      <c r="L18" s="644"/>
      <c r="M18" s="645"/>
    </row>
    <row r="19" spans="1:13" ht="13.8" x14ac:dyDescent="0.25">
      <c r="A19" s="646" t="s">
        <v>3621</v>
      </c>
      <c r="B19" s="647"/>
      <c r="C19" s="647"/>
      <c r="D19" s="647"/>
      <c r="E19" s="647"/>
      <c r="F19" s="647"/>
      <c r="G19" s="647"/>
      <c r="H19" s="647"/>
      <c r="I19" s="647"/>
      <c r="J19" s="647"/>
      <c r="K19" s="647"/>
      <c r="L19" s="647"/>
      <c r="M19" s="648"/>
    </row>
    <row r="20" spans="1:13" ht="66.75" customHeight="1" x14ac:dyDescent="0.25">
      <c r="A20" s="643" t="s">
        <v>3633</v>
      </c>
      <c r="B20" s="644"/>
      <c r="C20" s="644"/>
      <c r="D20" s="644"/>
      <c r="E20" s="644"/>
      <c r="F20" s="644"/>
      <c r="G20" s="644"/>
      <c r="H20" s="644"/>
      <c r="I20" s="644"/>
      <c r="J20" s="644"/>
      <c r="K20" s="644"/>
      <c r="L20" s="644"/>
      <c r="M20" s="645"/>
    </row>
    <row r="21" spans="1:13" ht="14.25" customHeight="1" x14ac:dyDescent="0.25">
      <c r="A21" s="646" t="s">
        <v>3622</v>
      </c>
      <c r="B21" s="647"/>
      <c r="C21" s="647"/>
      <c r="D21" s="647"/>
      <c r="E21" s="647"/>
      <c r="F21" s="647"/>
      <c r="G21" s="647"/>
      <c r="H21" s="647"/>
      <c r="I21" s="647"/>
      <c r="J21" s="647"/>
      <c r="K21" s="647"/>
      <c r="L21" s="647"/>
      <c r="M21" s="648"/>
    </row>
    <row r="22" spans="1:13" ht="147" customHeight="1" x14ac:dyDescent="0.25">
      <c r="A22" s="643" t="s">
        <v>3639</v>
      </c>
      <c r="B22" s="644"/>
      <c r="C22" s="644"/>
      <c r="D22" s="644"/>
      <c r="E22" s="644"/>
      <c r="F22" s="644"/>
      <c r="G22" s="644"/>
      <c r="H22" s="644"/>
      <c r="I22" s="644"/>
      <c r="J22" s="644"/>
      <c r="K22" s="644"/>
      <c r="L22" s="644"/>
      <c r="M22" s="645"/>
    </row>
    <row r="23" spans="1:13" ht="13.8" x14ac:dyDescent="0.25">
      <c r="A23" s="646" t="s">
        <v>3623</v>
      </c>
      <c r="B23" s="647"/>
      <c r="C23" s="647"/>
      <c r="D23" s="647"/>
      <c r="E23" s="647"/>
      <c r="F23" s="647"/>
      <c r="G23" s="647"/>
      <c r="H23" s="647"/>
      <c r="I23" s="647"/>
      <c r="J23" s="647"/>
      <c r="K23" s="647"/>
      <c r="L23" s="647"/>
      <c r="M23" s="648"/>
    </row>
    <row r="24" spans="1:13" ht="51.75" customHeight="1" x14ac:dyDescent="0.25">
      <c r="A24" s="643" t="s">
        <v>3624</v>
      </c>
      <c r="B24" s="644"/>
      <c r="C24" s="644"/>
      <c r="D24" s="644"/>
      <c r="E24" s="644"/>
      <c r="F24" s="644"/>
      <c r="G24" s="644"/>
      <c r="H24" s="644"/>
      <c r="I24" s="644"/>
      <c r="J24" s="644"/>
      <c r="K24" s="644"/>
      <c r="L24" s="644"/>
      <c r="M24" s="645"/>
    </row>
    <row r="25" spans="1:13" ht="13.8" x14ac:dyDescent="0.25">
      <c r="A25" s="649" t="s">
        <v>3640</v>
      </c>
      <c r="B25" s="650"/>
      <c r="C25" s="650"/>
      <c r="D25" s="650"/>
      <c r="E25" s="650"/>
      <c r="F25" s="650"/>
      <c r="G25" s="650"/>
      <c r="H25" s="650"/>
      <c r="I25" s="650"/>
      <c r="J25" s="650"/>
      <c r="K25" s="650"/>
      <c r="L25" s="650"/>
      <c r="M25" s="651"/>
    </row>
    <row r="26" spans="1:13" ht="52.5" customHeight="1" x14ac:dyDescent="0.25">
      <c r="A26" s="652" t="s">
        <v>3641</v>
      </c>
      <c r="B26" s="653"/>
      <c r="C26" s="653"/>
      <c r="D26" s="653"/>
      <c r="E26" s="653"/>
      <c r="F26" s="653"/>
      <c r="G26" s="653"/>
      <c r="H26" s="653"/>
      <c r="I26" s="653"/>
      <c r="J26" s="653"/>
      <c r="K26" s="653"/>
      <c r="L26" s="653"/>
      <c r="M26" s="654"/>
    </row>
    <row r="27" spans="1:13" ht="16.5" customHeight="1" x14ac:dyDescent="0.25">
      <c r="A27" s="646" t="s">
        <v>3642</v>
      </c>
      <c r="B27" s="647"/>
      <c r="C27" s="647"/>
      <c r="D27" s="647"/>
      <c r="E27" s="647"/>
      <c r="F27" s="647"/>
      <c r="G27" s="647"/>
      <c r="H27" s="647"/>
      <c r="I27" s="647"/>
      <c r="J27" s="647"/>
      <c r="K27" s="647"/>
      <c r="L27" s="647"/>
      <c r="M27" s="648"/>
    </row>
    <row r="28" spans="1:13" ht="57" customHeight="1" x14ac:dyDescent="0.25">
      <c r="A28" s="643" t="s">
        <v>3625</v>
      </c>
      <c r="B28" s="644"/>
      <c r="C28" s="644"/>
      <c r="D28" s="644"/>
      <c r="E28" s="644"/>
      <c r="F28" s="644"/>
      <c r="G28" s="644"/>
      <c r="H28" s="644"/>
      <c r="I28" s="644"/>
      <c r="J28" s="644"/>
      <c r="K28" s="644"/>
      <c r="L28" s="644"/>
      <c r="M28" s="645"/>
    </row>
    <row r="29" spans="1:13" ht="13.8" x14ac:dyDescent="0.25">
      <c r="A29" s="643" t="s">
        <v>3626</v>
      </c>
      <c r="B29" s="644"/>
      <c r="C29" s="644"/>
      <c r="D29" s="644"/>
      <c r="E29" s="644"/>
      <c r="F29" s="644"/>
      <c r="G29" s="644"/>
      <c r="H29" s="644"/>
      <c r="I29" s="644"/>
      <c r="J29" s="644"/>
      <c r="K29" s="644"/>
      <c r="L29" s="644"/>
      <c r="M29" s="645"/>
    </row>
    <row r="30" spans="1:13" ht="13.8" x14ac:dyDescent="0.25">
      <c r="A30" s="643" t="s">
        <v>3634</v>
      </c>
      <c r="B30" s="644"/>
      <c r="C30" s="644"/>
      <c r="D30" s="644"/>
      <c r="E30" s="644"/>
      <c r="F30" s="644"/>
      <c r="G30" s="644"/>
      <c r="H30" s="644"/>
      <c r="I30" s="644"/>
      <c r="J30" s="644"/>
      <c r="K30" s="644"/>
      <c r="L30" s="644"/>
      <c r="M30" s="645"/>
    </row>
  </sheetData>
  <sheetProtection algorithmName="SHA-512" hashValue="6r3Ch/RM0pe2JOwD25f69z8fsWRhXQzwZbG7NEEC1ysp9ggpT++T3tMyr32HCCMH+x2Dwubq5ZNjbNcz3Tcc3A==" saltValue="LNoHQP0RD/Bx9MtxLr2G4w==" spinCount="100000" sheet="1" objects="1" scenarios="1"/>
  <mergeCells count="30">
    <mergeCell ref="A19:M19"/>
    <mergeCell ref="A20:M20"/>
    <mergeCell ref="A21:M21"/>
    <mergeCell ref="A6:M6"/>
    <mergeCell ref="A1:M1"/>
    <mergeCell ref="A2:M2"/>
    <mergeCell ref="A3:M3"/>
    <mergeCell ref="A4:M4"/>
    <mergeCell ref="A5:M5"/>
    <mergeCell ref="A18:M18"/>
    <mergeCell ref="A7:M7"/>
    <mergeCell ref="A8:M8"/>
    <mergeCell ref="A9:M9"/>
    <mergeCell ref="A10:M10"/>
    <mergeCell ref="A11:M11"/>
    <mergeCell ref="A12:M12"/>
    <mergeCell ref="A13:M13"/>
    <mergeCell ref="A14:M14"/>
    <mergeCell ref="A15:M15"/>
    <mergeCell ref="A16:M16"/>
    <mergeCell ref="A17:M17"/>
    <mergeCell ref="A22:M22"/>
    <mergeCell ref="A23:M23"/>
    <mergeCell ref="A29:M29"/>
    <mergeCell ref="A30:M30"/>
    <mergeCell ref="A25:M25"/>
    <mergeCell ref="A26:M26"/>
    <mergeCell ref="A27:M27"/>
    <mergeCell ref="A28:M28"/>
    <mergeCell ref="A24:M24"/>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KeywordTaxHTField xmlns="ad7ac514-1b45-4777-ba70-885936851528">
      <Terms xmlns="http://schemas.microsoft.com/office/infopath/2007/PartnerControls"/>
    </TaxKeywordTaxHTField>
    <PublishingStartDate xmlns="http://schemas.microsoft.com/sharepoint/v3" xsi:nil="true"/>
    <TaxCatchAll xmlns="ad7ac514-1b45-4777-ba70-885936851528"/>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311652656C700549814E77C8508CD17F" ma:contentTypeVersion="14" ma:contentTypeDescription="Ein neues Dokument erstellen." ma:contentTypeScope="" ma:versionID="7cb03bdff20770e351a16579acac2ba6">
  <xsd:schema xmlns:xsd="http://www.w3.org/2001/XMLSchema" xmlns:xs="http://www.w3.org/2001/XMLSchema" xmlns:p="http://schemas.microsoft.com/office/2006/metadata/properties" xmlns:ns1="http://schemas.microsoft.com/sharepoint/v3" xmlns:ns2="ad7ac514-1b45-4777-ba70-885936851528" xmlns:ns3="b46dc68a-6acb-4308-ad0a-c64df1e76c63" targetNamespace="http://schemas.microsoft.com/office/2006/metadata/properties" ma:root="true" ma:fieldsID="d7172bba6890f015da301123f3765050" ns1:_="" ns2:_="" ns3:_="">
    <xsd:import namespace="http://schemas.microsoft.com/sharepoint/v3"/>
    <xsd:import namespace="ad7ac514-1b45-4777-ba70-885936851528"/>
    <xsd:import namespace="b46dc68a-6acb-4308-ad0a-c64df1e76c63"/>
    <xsd:element name="properties">
      <xsd:complexType>
        <xsd:sequence>
          <xsd:element name="documentManagement">
            <xsd:complexType>
              <xsd:all>
                <xsd:element ref="ns1:PublishingStartDate" minOccurs="0"/>
                <xsd:element ref="ns1:PublishingExpirationDate" minOccurs="0"/>
                <xsd:element ref="ns2:TaxKeywordTaxHTField" minOccurs="0"/>
                <xsd:element ref="ns2:TaxCatchAll"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Geplantes Startdatum ist eine Websitespalte, die über das Feature zum Veröffentlichen erstellt wird. Es wird zur Angabe des Datums und der Uhrzeit verwendet, wann diese Seite Besuchern zum ersten Mal angezeigt wird." ma:internalName="PublishingStartDate">
      <xsd:simpleType>
        <xsd:restriction base="dms:Unknown"/>
      </xsd:simpleType>
    </xsd:element>
    <xsd:element name="PublishingExpirationDate" ma:index="9" nillable="true" ma:displayName="Geplantes Enddatum" ma:description="Geplantes Enddatum ist eine Websitespalte, die über das Feature zum Veröffentlichen erstellt wird. Es wird zur Angabe des Datums und der Uhrzeit verwendet, wann diese Seite Besuchern nicht mehr angezeigt wird."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d7ac514-1b45-4777-ba70-885936851528" elementFormDefault="qualified">
    <xsd:import namespace="http://schemas.microsoft.com/office/2006/documentManagement/types"/>
    <xsd:import namespace="http://schemas.microsoft.com/office/infopath/2007/PartnerControls"/>
    <xsd:element name="TaxKeywordTaxHTField" ma:index="11" nillable="true" ma:taxonomy="true" ma:internalName="TaxKeywordTaxHTField" ma:taxonomyFieldName="TaxKeyword" ma:displayName="Unternehmensstichwörter" ma:fieldId="{23f27201-bee3-471e-b2e7-b64fd8b7ca38}" ma:taxonomyMulti="true" ma:sspId="a552a357-a81e-42c2-941c-4dffec487598" ma:termSetId="00000000-0000-0000-0000-000000000000" ma:anchorId="00000000-0000-0000-0000-000000000000" ma:open="true" ma:isKeyword="true">
      <xsd:complexType>
        <xsd:sequence>
          <xsd:element ref="pc:Terms" minOccurs="0" maxOccurs="1"/>
        </xsd:sequence>
      </xsd:complexType>
    </xsd:element>
    <xsd:element name="TaxCatchAll" ma:index="12" nillable="true" ma:displayName="Taxonomy Catch All Column" ma:hidden="true" ma:list="{c79385c6-4e2c-493d-9ee2-cac8cf2877c8}" ma:internalName="TaxCatchAll" ma:showField="CatchAllData" ma:web="ad7ac514-1b45-4777-ba70-88593685152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46dc68a-6acb-4308-ad0a-c64df1e76c63"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C3B760-3CBE-4F28-B717-0F952E82D044}">
  <ds:schemaRefs>
    <ds:schemaRef ds:uri="http://schemas.microsoft.com/sharepoint/v3/contenttype/forms"/>
  </ds:schemaRefs>
</ds:datastoreItem>
</file>

<file path=customXml/itemProps2.xml><?xml version="1.0" encoding="utf-8"?>
<ds:datastoreItem xmlns:ds="http://schemas.openxmlformats.org/officeDocument/2006/customXml" ds:itemID="{A45A860F-4FEB-4184-B390-4DCC23440DBC}">
  <ds:schemaRefs>
    <ds:schemaRef ds:uri="http://purl.org/dc/elements/1.1/"/>
    <ds:schemaRef ds:uri="http://purl.org/dc/dcmitype/"/>
    <ds:schemaRef ds:uri="http://schemas.microsoft.com/office/2006/metadata/properties"/>
    <ds:schemaRef ds:uri="fc0481f3-3cec-433e-b12a-d16e53f2b68a"/>
    <ds:schemaRef ds:uri="http://schemas.microsoft.com/office/infopath/2007/PartnerControls"/>
    <ds:schemaRef ds:uri="http://www.w3.org/XML/1998/namespace"/>
    <ds:schemaRef ds:uri="http://schemas.microsoft.com/office/2006/documentManagement/types"/>
    <ds:schemaRef ds:uri="57409554-4e83-4666-9fb7-019e13a54b2f"/>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DD0818DC-50F2-4EAB-AEA0-F69FB4099A1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16</vt:i4>
      </vt:variant>
    </vt:vector>
  </HeadingPairs>
  <TitlesOfParts>
    <vt:vector size="24" baseType="lpstr">
      <vt:lpstr>About</vt:lpstr>
      <vt:lpstr>ALECA_Input</vt:lpstr>
      <vt:lpstr>Aircraft Calc</vt:lpstr>
      <vt:lpstr>Engines_all</vt:lpstr>
      <vt:lpstr>Rest Calc</vt:lpstr>
      <vt:lpstr>Countries</vt:lpstr>
      <vt:lpstr>ALECA_Results</vt:lpstr>
      <vt:lpstr>Software License Agreement</vt:lpstr>
      <vt:lpstr>Calculation</vt:lpstr>
      <vt:lpstr>CNG</vt:lpstr>
      <vt:lpstr>CountryList</vt:lpstr>
      <vt:lpstr>Deicing</vt:lpstr>
      <vt:lpstr>About!Druckbereich</vt:lpstr>
      <vt:lpstr>ALECA_Input!Druckbereich</vt:lpstr>
      <vt:lpstr>ALECA_Results!Druckbereich</vt:lpstr>
      <vt:lpstr>'Rest Calc'!Druckbereich</vt:lpstr>
      <vt:lpstr>Fuel</vt:lpstr>
      <vt:lpstr>GPU</vt:lpstr>
      <vt:lpstr>GSE</vt:lpstr>
      <vt:lpstr>GSEFuel</vt:lpstr>
      <vt:lpstr>LTO</vt:lpstr>
      <vt:lpstr>Options</vt:lpstr>
      <vt:lpstr>Taxi</vt:lpstr>
      <vt:lpstr>YESNO</vt:lpstr>
    </vt:vector>
  </TitlesOfParts>
  <Company>Flughafen Zuerich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Fleuti, Emanuel</dc:creator>
  <cp:lastModifiedBy>Fleuti, Emanuel</cp:lastModifiedBy>
  <cp:lastPrinted>2018-12-04T06:40:03Z</cp:lastPrinted>
  <dcterms:created xsi:type="dcterms:W3CDTF">2017-11-17T10:42:33Z</dcterms:created>
  <dcterms:modified xsi:type="dcterms:W3CDTF">2020-11-30T14:29:14Z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0x010100311652656C700549814E77C8508CD17F</vt:lpwstr>
  </property>
  <property fmtid="{D5CDD505-2E9C-101B-9397-08002B2CF9AE}" pid="3" name="TaxKeyword">
    <vt:lpwstr/>
  </property>
</Properties>
</file>